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CE05D9B0-ABB4-467D-9199-964D4E27E3AE}" xr6:coauthVersionLast="37" xr6:coauthVersionMax="47" xr10:uidLastSave="{00000000-0000-0000-0000-000000000000}"/>
  <bookViews>
    <workbookView xWindow="0" yWindow="0" windowWidth="24000" windowHeight="952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677" i="21" l="1"/>
  <c r="J676" i="21"/>
  <c r="J675" i="21"/>
  <c r="J674" i="21"/>
  <c r="J673" i="21"/>
  <c r="J672" i="21"/>
  <c r="N671" i="21"/>
  <c r="L671" i="21"/>
  <c r="O671" i="21" s="1"/>
  <c r="I671" i="21"/>
  <c r="K671" i="21" s="1"/>
  <c r="J670" i="21"/>
  <c r="J669" i="21"/>
  <c r="N668" i="21"/>
  <c r="L668" i="21"/>
  <c r="O668" i="21" s="1"/>
  <c r="J668" i="21"/>
  <c r="I668" i="21"/>
  <c r="K668" i="21" s="1"/>
  <c r="J667" i="21"/>
  <c r="J666" i="21"/>
  <c r="N665" i="21"/>
  <c r="L665" i="21"/>
  <c r="O665" i="21" s="1"/>
  <c r="J665" i="21"/>
  <c r="I665" i="21"/>
  <c r="K665" i="21" s="1"/>
  <c r="J663" i="21"/>
  <c r="I663" i="21"/>
  <c r="K663" i="21" s="1"/>
  <c r="J662" i="21"/>
  <c r="N661" i="21"/>
  <c r="L661" i="21"/>
  <c r="O661" i="21" s="1"/>
  <c r="J661" i="21"/>
  <c r="J660" i="21"/>
  <c r="J659" i="21"/>
  <c r="J658" i="21"/>
  <c r="J657" i="21"/>
  <c r="J656" i="21"/>
  <c r="J655" i="21"/>
  <c r="J653" i="21"/>
  <c r="J652" i="21"/>
  <c r="N651" i="21"/>
  <c r="L651" i="21"/>
  <c r="O651" i="21" s="1"/>
  <c r="I651" i="21"/>
  <c r="K651" i="21" s="1"/>
  <c r="N650" i="21"/>
  <c r="L650" i="21"/>
  <c r="O650" i="21" s="1"/>
  <c r="J650" i="21"/>
  <c r="I650" i="21"/>
  <c r="K650" i="21" s="1"/>
  <c r="N649" i="21"/>
  <c r="L649" i="21"/>
  <c r="J649" i="21"/>
  <c r="I649" i="21"/>
  <c r="N648" i="21"/>
  <c r="L648" i="21"/>
  <c r="J648" i="21"/>
  <c r="I648" i="21"/>
  <c r="J647" i="21"/>
  <c r="J646" i="21"/>
  <c r="O639" i="21"/>
  <c r="O637" i="21"/>
  <c r="J635" i="21"/>
  <c r="I635" i="21"/>
  <c r="J634" i="21"/>
  <c r="I634" i="21"/>
  <c r="J633" i="21"/>
  <c r="I633" i="21"/>
  <c r="K633" i="21" s="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2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K617" i="21" s="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M331" i="21" s="1"/>
  <c r="O332" i="21"/>
  <c r="P330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P314" i="21" s="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O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P221" i="21"/>
  <c r="N221" i="21"/>
  <c r="M221" i="2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N141" i="21"/>
  <c r="M141" i="21"/>
  <c r="L141" i="21"/>
  <c r="O141" i="21" s="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P119" i="21"/>
  <c r="O119" i="21"/>
  <c r="N119" i="21"/>
  <c r="M119" i="2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M102" i="21" s="1"/>
  <c r="L100" i="21"/>
  <c r="L99" i="21"/>
  <c r="N98" i="21"/>
  <c r="M98" i="21"/>
  <c r="O97" i="21"/>
  <c r="O95" i="21"/>
  <c r="N95" i="21"/>
  <c r="M95" i="21"/>
  <c r="L95" i="21"/>
  <c r="J93" i="21"/>
  <c r="I93" i="21"/>
  <c r="J92" i="21"/>
  <c r="I92" i="21"/>
  <c r="K92" i="21" s="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O69" i="21"/>
  <c r="O67" i="21"/>
  <c r="N67" i="21"/>
  <c r="M67" i="21"/>
  <c r="P67" i="21" s="1"/>
  <c r="L67" i="21"/>
  <c r="J65" i="21"/>
  <c r="I65" i="21"/>
  <c r="K65" i="21" s="1"/>
  <c r="J64" i="21"/>
  <c r="I64" i="21"/>
  <c r="K64" i="21" s="1"/>
  <c r="N61" i="21"/>
  <c r="L61" i="21"/>
  <c r="L59" i="21"/>
  <c r="L58" i="21"/>
  <c r="N57" i="21"/>
  <c r="M57" i="21"/>
  <c r="N54" i="21"/>
  <c r="M54" i="21"/>
  <c r="L54" i="21"/>
  <c r="N49" i="21"/>
  <c r="L49" i="21"/>
  <c r="M49" i="21" s="1"/>
  <c r="L47" i="21"/>
  <c r="L46" i="21"/>
  <c r="N45" i="21"/>
  <c r="M45" i="21"/>
  <c r="P42" i="21"/>
  <c r="O42" i="21"/>
  <c r="N42" i="21"/>
  <c r="M42" i="21"/>
  <c r="L42" i="21"/>
  <c r="P36" i="21"/>
  <c r="O36" i="21"/>
  <c r="P35" i="21"/>
  <c r="O35" i="21"/>
  <c r="M34" i="21"/>
  <c r="P34" i="21" s="1"/>
  <c r="P33" i="21"/>
  <c r="M33" i="21"/>
  <c r="M32" i="21"/>
  <c r="P31" i="21"/>
  <c r="M31" i="21"/>
  <c r="M29" i="21"/>
  <c r="N25" i="21"/>
  <c r="M25" i="21"/>
  <c r="L25" i="21"/>
  <c r="P24" i="21"/>
  <c r="N24" i="21"/>
  <c r="M24" i="21"/>
  <c r="N23" i="21"/>
  <c r="M23" i="21"/>
  <c r="P21" i="21"/>
  <c r="O21" i="21"/>
  <c r="N21" i="21"/>
  <c r="N19" i="21" s="1"/>
  <c r="M21" i="21"/>
  <c r="M19" i="21" s="1"/>
  <c r="L21" i="21"/>
  <c r="L19" i="21" s="1"/>
  <c r="P19" i="21"/>
  <c r="N15" i="21"/>
  <c r="M14" i="21"/>
  <c r="P14" i="21" s="1"/>
  <c r="M11" i="21"/>
  <c r="P11" i="21" s="1"/>
  <c r="J677" i="20"/>
  <c r="J676" i="20"/>
  <c r="J675" i="20"/>
  <c r="J674" i="20"/>
  <c r="J673" i="20"/>
  <c r="J672" i="20"/>
  <c r="N671" i="20"/>
  <c r="L671" i="20"/>
  <c r="I671" i="20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O665" i="20" s="1"/>
  <c r="J665" i="20"/>
  <c r="I665" i="20"/>
  <c r="K665" i="20" s="1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N650" i="20"/>
  <c r="L650" i="20"/>
  <c r="O650" i="20" s="1"/>
  <c r="J650" i="20"/>
  <c r="I650" i="20"/>
  <c r="K650" i="20" s="1"/>
  <c r="N649" i="20"/>
  <c r="L649" i="20"/>
  <c r="J649" i="20"/>
  <c r="I649" i="20"/>
  <c r="N648" i="20"/>
  <c r="L648" i="20"/>
  <c r="J648" i="20"/>
  <c r="I648" i="20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2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P330" i="20"/>
  <c r="N330" i="20"/>
  <c r="M330" i="20"/>
  <c r="L330" i="20"/>
  <c r="O330" i="20" s="1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P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O291" i="20"/>
  <c r="N291" i="20"/>
  <c r="M291" i="20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O274" i="20"/>
  <c r="O272" i="20"/>
  <c r="N272" i="20"/>
  <c r="M272" i="20"/>
  <c r="P272" i="20" s="1"/>
  <c r="L272" i="20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L256" i="20"/>
  <c r="L255" i="20"/>
  <c r="N254" i="20"/>
  <c r="M254" i="20"/>
  <c r="M252" i="20" s="1"/>
  <c r="O253" i="20"/>
  <c r="N251" i="20"/>
  <c r="M251" i="20"/>
  <c r="P251" i="20" s="1"/>
  <c r="L251" i="20"/>
  <c r="O251" i="20" s="1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P221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N141" i="20"/>
  <c r="M141" i="20"/>
  <c r="P141" i="20" s="1"/>
  <c r="L141" i="20"/>
  <c r="O141" i="20" s="1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O119" i="20"/>
  <c r="N119" i="20"/>
  <c r="M119" i="20"/>
  <c r="P119" i="20" s="1"/>
  <c r="L119" i="20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P95" i="20"/>
  <c r="N95" i="20"/>
  <c r="M95" i="20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O74" i="20" s="1"/>
  <c r="L72" i="20"/>
  <c r="L71" i="20"/>
  <c r="N70" i="20"/>
  <c r="M70" i="20"/>
  <c r="M68" i="20" s="1"/>
  <c r="O69" i="20"/>
  <c r="N67" i="20"/>
  <c r="M67" i="20"/>
  <c r="P67" i="20" s="1"/>
  <c r="L67" i="20"/>
  <c r="O67" i="20" s="1"/>
  <c r="J65" i="20"/>
  <c r="I65" i="20"/>
  <c r="J64" i="20"/>
  <c r="I64" i="20"/>
  <c r="N61" i="20"/>
  <c r="L61" i="20"/>
  <c r="O61" i="20" s="1"/>
  <c r="L59" i="20"/>
  <c r="L58" i="20"/>
  <c r="N57" i="20"/>
  <c r="M57" i="20"/>
  <c r="M55" i="20" s="1"/>
  <c r="P54" i="20"/>
  <c r="N54" i="20"/>
  <c r="M54" i="20"/>
  <c r="L54" i="20"/>
  <c r="O54" i="20" s="1"/>
  <c r="N49" i="20"/>
  <c r="L49" i="20"/>
  <c r="O49" i="20" s="1"/>
  <c r="L47" i="20"/>
  <c r="L46" i="20"/>
  <c r="N45" i="20"/>
  <c r="M45" i="20"/>
  <c r="N42" i="20"/>
  <c r="M42" i="20"/>
  <c r="P42" i="20" s="1"/>
  <c r="L42" i="20"/>
  <c r="P36" i="20"/>
  <c r="O36" i="20"/>
  <c r="P35" i="20"/>
  <c r="O35" i="20"/>
  <c r="P34" i="20"/>
  <c r="M34" i="20"/>
  <c r="M33" i="20"/>
  <c r="P33" i="20" s="1"/>
  <c r="M32" i="20"/>
  <c r="P32" i="20" s="1"/>
  <c r="P31" i="20"/>
  <c r="M31" i="20"/>
  <c r="M30" i="20"/>
  <c r="P30" i="20" s="1"/>
  <c r="P29" i="20"/>
  <c r="M29" i="20"/>
  <c r="M28" i="20"/>
  <c r="P28" i="20" s="1"/>
  <c r="P25" i="20"/>
  <c r="O25" i="20"/>
  <c r="N25" i="20"/>
  <c r="M25" i="20"/>
  <c r="L25" i="20"/>
  <c r="N24" i="20"/>
  <c r="M24" i="20"/>
  <c r="P24" i="20" s="1"/>
  <c r="N23" i="20"/>
  <c r="M23" i="20"/>
  <c r="P23" i="20" s="1"/>
  <c r="N21" i="20"/>
  <c r="M21" i="20"/>
  <c r="P21" i="20" s="1"/>
  <c r="L21" i="20"/>
  <c r="O21" i="20" s="1"/>
  <c r="N19" i="20"/>
  <c r="M19" i="20"/>
  <c r="P19" i="20" s="1"/>
  <c r="N15" i="20"/>
  <c r="M15" i="20"/>
  <c r="P15" i="20" s="1"/>
  <c r="L15" i="20"/>
  <c r="O15" i="20" s="1"/>
  <c r="M14" i="20"/>
  <c r="P14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O665" i="19" s="1"/>
  <c r="J665" i="19"/>
  <c r="I665" i="19"/>
  <c r="K665" i="19" s="1"/>
  <c r="J663" i="19"/>
  <c r="I663" i="19"/>
  <c r="K663" i="19" s="1"/>
  <c r="J662" i="19"/>
  <c r="N661" i="19"/>
  <c r="L661" i="19"/>
  <c r="O661" i="19" s="1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O650" i="19" s="1"/>
  <c r="J650" i="19"/>
  <c r="I650" i="19"/>
  <c r="K650" i="19" s="1"/>
  <c r="N649" i="19"/>
  <c r="L649" i="19"/>
  <c r="O649" i="19" s="1"/>
  <c r="J649" i="19"/>
  <c r="I649" i="19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2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O330" i="19"/>
  <c r="N330" i="19"/>
  <c r="M330" i="19"/>
  <c r="P330" i="19" s="1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M312" i="19" s="1"/>
  <c r="P312" i="19" s="1"/>
  <c r="O313" i="19"/>
  <c r="O311" i="19"/>
  <c r="N311" i="19"/>
  <c r="M311" i="19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O293" i="19"/>
  <c r="P291" i="19"/>
  <c r="N291" i="19"/>
  <c r="M291" i="19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O274" i="19"/>
  <c r="N272" i="19"/>
  <c r="M272" i="19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P252" i="19" s="1"/>
  <c r="O253" i="19"/>
  <c r="P251" i="19"/>
  <c r="O251" i="19"/>
  <c r="N251" i="19"/>
  <c r="M251" i="19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O141" i="19"/>
  <c r="N141" i="19"/>
  <c r="M141" i="19"/>
  <c r="P141" i="19" s="1"/>
  <c r="L141" i="19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P122" i="19" s="1"/>
  <c r="O121" i="19"/>
  <c r="N119" i="19"/>
  <c r="M119" i="19"/>
  <c r="P119" i="19" s="1"/>
  <c r="L119" i="19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M96" i="19" s="1"/>
  <c r="P96" i="19" s="1"/>
  <c r="O97" i="19"/>
  <c r="O95" i="19"/>
  <c r="N95" i="19"/>
  <c r="M95" i="19"/>
  <c r="L95" i="19"/>
  <c r="J93" i="19"/>
  <c r="I93" i="19"/>
  <c r="K93" i="19" s="1"/>
  <c r="J92" i="19"/>
  <c r="I92" i="19"/>
  <c r="K92" i="19" s="1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O69" i="19"/>
  <c r="O67" i="19"/>
  <c r="N67" i="19"/>
  <c r="M67" i="19"/>
  <c r="P67" i="19" s="1"/>
  <c r="L67" i="19"/>
  <c r="J65" i="19"/>
  <c r="I65" i="19"/>
  <c r="J64" i="19"/>
  <c r="I64" i="19"/>
  <c r="N61" i="19"/>
  <c r="L61" i="19"/>
  <c r="L59" i="19"/>
  <c r="L58" i="19"/>
  <c r="L57" i="19" s="1"/>
  <c r="N57" i="19"/>
  <c r="M57" i="19"/>
  <c r="M55" i="19" s="1"/>
  <c r="N54" i="19"/>
  <c r="M54" i="19"/>
  <c r="P54" i="19" s="1"/>
  <c r="L54" i="19"/>
  <c r="O54" i="19" s="1"/>
  <c r="N49" i="19"/>
  <c r="L49" i="19"/>
  <c r="O49" i="19" s="1"/>
  <c r="L47" i="19"/>
  <c r="L46" i="19"/>
  <c r="N45" i="19"/>
  <c r="M45" i="19"/>
  <c r="O42" i="19"/>
  <c r="N42" i="19"/>
  <c r="M42" i="19"/>
  <c r="P42" i="19" s="1"/>
  <c r="L42" i="19"/>
  <c r="P36" i="19"/>
  <c r="O36" i="19"/>
  <c r="P35" i="19"/>
  <c r="O35" i="19"/>
  <c r="M34" i="19"/>
  <c r="P34" i="19" s="1"/>
  <c r="M33" i="19"/>
  <c r="P33" i="19" s="1"/>
  <c r="P32" i="19"/>
  <c r="M32" i="19"/>
  <c r="P31" i="19"/>
  <c r="M31" i="19"/>
  <c r="M29" i="19" s="1"/>
  <c r="M30" i="19"/>
  <c r="P30" i="19" s="1"/>
  <c r="N25" i="19"/>
  <c r="M25" i="19"/>
  <c r="P25" i="19" s="1"/>
  <c r="L25" i="19"/>
  <c r="O25" i="19" s="1"/>
  <c r="N24" i="19"/>
  <c r="M24" i="19"/>
  <c r="P24" i="19" s="1"/>
  <c r="P23" i="19"/>
  <c r="N23" i="19"/>
  <c r="M23" i="19"/>
  <c r="N21" i="19"/>
  <c r="M21" i="19"/>
  <c r="M19" i="19" s="1"/>
  <c r="P19" i="19" s="1"/>
  <c r="L21" i="19"/>
  <c r="O21" i="19" s="1"/>
  <c r="O19" i="19"/>
  <c r="L19" i="19"/>
  <c r="N15" i="19"/>
  <c r="M15" i="19"/>
  <c r="P15" i="19" s="1"/>
  <c r="P13" i="19"/>
  <c r="M13" i="19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J649" i="18"/>
  <c r="I649" i="18"/>
  <c r="N648" i="18"/>
  <c r="L648" i="18"/>
  <c r="J648" i="18"/>
  <c r="I648" i="18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3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N330" i="18"/>
  <c r="M330" i="18"/>
  <c r="L330" i="18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P311" i="18"/>
  <c r="N311" i="18"/>
  <c r="M311" i="18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M290" i="18" s="1"/>
  <c r="P290" i="18" s="1"/>
  <c r="O293" i="18"/>
  <c r="N291" i="18"/>
  <c r="M291" i="18"/>
  <c r="P291" i="18" s="1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P275" i="18" s="1"/>
  <c r="O274" i="18"/>
  <c r="O272" i="18"/>
  <c r="N272" i="18"/>
  <c r="M272" i="18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O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P141" i="18"/>
  <c r="N141" i="18"/>
  <c r="M141" i="18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L124" i="18"/>
  <c r="L123" i="18"/>
  <c r="N122" i="18"/>
  <c r="M122" i="18"/>
  <c r="M120" i="18" s="1"/>
  <c r="P120" i="18" s="1"/>
  <c r="O121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O69" i="18"/>
  <c r="P67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O54" i="18"/>
  <c r="N54" i="18"/>
  <c r="M54" i="18"/>
  <c r="L54" i="18"/>
  <c r="N49" i="18"/>
  <c r="L49" i="18"/>
  <c r="L47" i="18"/>
  <c r="L46" i="18"/>
  <c r="N45" i="18"/>
  <c r="M45" i="18"/>
  <c r="N42" i="18"/>
  <c r="M42" i="18"/>
  <c r="P42" i="18" s="1"/>
  <c r="L42" i="18"/>
  <c r="O42" i="18" s="1"/>
  <c r="P36" i="18"/>
  <c r="O36" i="18"/>
  <c r="P35" i="18"/>
  <c r="O35" i="18"/>
  <c r="M34" i="18"/>
  <c r="P34" i="18" s="1"/>
  <c r="M33" i="18"/>
  <c r="P33" i="18" s="1"/>
  <c r="P32" i="18"/>
  <c r="M32" i="18"/>
  <c r="M31" i="18"/>
  <c r="M30" i="18"/>
  <c r="P30" i="18" s="1"/>
  <c r="N25" i="18"/>
  <c r="M25" i="18"/>
  <c r="P25" i="18" s="1"/>
  <c r="L25" i="18"/>
  <c r="O25" i="18" s="1"/>
  <c r="N24" i="18"/>
  <c r="M24" i="18"/>
  <c r="P24" i="18" s="1"/>
  <c r="P23" i="18"/>
  <c r="N23" i="18"/>
  <c r="M23" i="18"/>
  <c r="N21" i="18"/>
  <c r="M21" i="18"/>
  <c r="P21" i="18" s="1"/>
  <c r="L21" i="18"/>
  <c r="O21" i="18" s="1"/>
  <c r="L19" i="18"/>
  <c r="M15" i="18"/>
  <c r="P15" i="18" s="1"/>
  <c r="P14" i="18"/>
  <c r="M14" i="18"/>
  <c r="M13" i="18"/>
  <c r="P13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O665" i="17" s="1"/>
  <c r="J665" i="17"/>
  <c r="I665" i="17"/>
  <c r="K665" i="17" s="1"/>
  <c r="J663" i="17"/>
  <c r="I663" i="17"/>
  <c r="K663" i="17" s="1"/>
  <c r="J662" i="17"/>
  <c r="N661" i="17"/>
  <c r="L661" i="17"/>
  <c r="O661" i="17" s="1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O650" i="17" s="1"/>
  <c r="J650" i="17"/>
  <c r="I650" i="17"/>
  <c r="K650" i="17" s="1"/>
  <c r="N649" i="17"/>
  <c r="L649" i="17"/>
  <c r="J649" i="17"/>
  <c r="I649" i="17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4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N330" i="17"/>
  <c r="M330" i="17"/>
  <c r="P330" i="17" s="1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N311" i="17"/>
  <c r="M311" i="17"/>
  <c r="P311" i="17" s="1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N272" i="17"/>
  <c r="M272" i="17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N221" i="17"/>
  <c r="M221" i="17"/>
  <c r="P221" i="17" s="1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K200" i="17" s="1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P95" i="17"/>
  <c r="O95" i="17"/>
  <c r="N95" i="17"/>
  <c r="M95" i="17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O74" i="17" s="1"/>
  <c r="L72" i="17"/>
  <c r="L71" i="17"/>
  <c r="N70" i="17"/>
  <c r="M70" i="17"/>
  <c r="O69" i="17"/>
  <c r="P67" i="17"/>
  <c r="N67" i="17"/>
  <c r="M67" i="17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P54" i="17"/>
  <c r="O54" i="17"/>
  <c r="N54" i="17"/>
  <c r="M54" i="17"/>
  <c r="L54" i="17"/>
  <c r="N49" i="17"/>
  <c r="L49" i="17"/>
  <c r="M49" i="17" s="1"/>
  <c r="L47" i="17"/>
  <c r="L46" i="17"/>
  <c r="N45" i="17"/>
  <c r="M45" i="17"/>
  <c r="P42" i="17"/>
  <c r="N42" i="17"/>
  <c r="M42" i="17"/>
  <c r="L42" i="17"/>
  <c r="O42" i="17" s="1"/>
  <c r="P36" i="17"/>
  <c r="O36" i="17"/>
  <c r="P35" i="17"/>
  <c r="O35" i="17"/>
  <c r="M34" i="17"/>
  <c r="M33" i="17"/>
  <c r="P33" i="17" s="1"/>
  <c r="P32" i="17"/>
  <c r="M32" i="17"/>
  <c r="M31" i="17"/>
  <c r="P30" i="17"/>
  <c r="M30" i="17"/>
  <c r="N25" i="17"/>
  <c r="N15" i="17" s="1"/>
  <c r="M25" i="17"/>
  <c r="L25" i="17"/>
  <c r="O25" i="17" s="1"/>
  <c r="N24" i="17"/>
  <c r="M24" i="17"/>
  <c r="P24" i="17" s="1"/>
  <c r="P23" i="17"/>
  <c r="N23" i="17"/>
  <c r="M23" i="17"/>
  <c r="N21" i="17"/>
  <c r="N19" i="17" s="1"/>
  <c r="M21" i="17"/>
  <c r="P21" i="17" s="1"/>
  <c r="L21" i="17"/>
  <c r="O21" i="17" s="1"/>
  <c r="L19" i="17"/>
  <c r="M13" i="17"/>
  <c r="P13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P330" i="16"/>
  <c r="N330" i="16"/>
  <c r="M330" i="16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P311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O291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O221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N141" i="16"/>
  <c r="M141" i="16"/>
  <c r="P141" i="16" s="1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P120" i="16" s="1"/>
  <c r="O121" i="16"/>
  <c r="O119" i="16"/>
  <c r="N119" i="16"/>
  <c r="M119" i="16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P95" i="16"/>
  <c r="N95" i="16"/>
  <c r="M95" i="16"/>
  <c r="L95" i="16"/>
  <c r="O95" i="16" s="1"/>
  <c r="J93" i="16"/>
  <c r="I93" i="16"/>
  <c r="K93" i="16" s="1"/>
  <c r="K92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M68" i="16" s="1"/>
  <c r="P68" i="16" s="1"/>
  <c r="O69" i="16"/>
  <c r="N67" i="16"/>
  <c r="M67" i="16"/>
  <c r="P67" i="16" s="1"/>
  <c r="L67" i="16"/>
  <c r="O67" i="16" s="1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P54" i="16"/>
  <c r="N54" i="16"/>
  <c r="M54" i="16"/>
  <c r="L54" i="16"/>
  <c r="O54" i="16" s="1"/>
  <c r="N49" i="16"/>
  <c r="L49" i="16"/>
  <c r="L47" i="16"/>
  <c r="L46" i="16"/>
  <c r="N45" i="16"/>
  <c r="M45" i="16"/>
  <c r="O42" i="16"/>
  <c r="N42" i="16"/>
  <c r="M42" i="16"/>
  <c r="L42" i="16"/>
  <c r="P36" i="16"/>
  <c r="O36" i="16"/>
  <c r="P35" i="16"/>
  <c r="O35" i="16"/>
  <c r="P34" i="16"/>
  <c r="M34" i="16"/>
  <c r="M33" i="16"/>
  <c r="P32" i="16"/>
  <c r="M32" i="16"/>
  <c r="M30" i="16" s="1"/>
  <c r="P30" i="16" s="1"/>
  <c r="M31" i="16"/>
  <c r="M29" i="16" s="1"/>
  <c r="P25" i="16"/>
  <c r="N25" i="16"/>
  <c r="N15" i="16" s="1"/>
  <c r="M25" i="16"/>
  <c r="L25" i="16"/>
  <c r="O25" i="16" s="1"/>
  <c r="N24" i="16"/>
  <c r="M24" i="16"/>
  <c r="P23" i="16"/>
  <c r="N23" i="16"/>
  <c r="M23" i="16"/>
  <c r="N21" i="16"/>
  <c r="M21" i="16"/>
  <c r="P21" i="16" s="1"/>
  <c r="L21" i="16"/>
  <c r="N19" i="16"/>
  <c r="O15" i="16"/>
  <c r="M15" i="16"/>
  <c r="P15" i="16" s="1"/>
  <c r="L15" i="16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M331" i="15" s="1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N291" i="15"/>
  <c r="M291" i="15"/>
  <c r="P291" i="15" s="1"/>
  <c r="L291" i="15"/>
  <c r="O291" i="15" s="1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P275" i="15" s="1"/>
  <c r="O274" i="15"/>
  <c r="N272" i="15"/>
  <c r="M272" i="15"/>
  <c r="L272" i="15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M220" i="15" s="1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N119" i="15"/>
  <c r="M119" i="15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M102" i="15" s="1"/>
  <c r="L100" i="15"/>
  <c r="L99" i="15"/>
  <c r="N98" i="15"/>
  <c r="M98" i="15"/>
  <c r="O97" i="15"/>
  <c r="N95" i="15"/>
  <c r="M95" i="15"/>
  <c r="L95" i="15"/>
  <c r="J93" i="15"/>
  <c r="I93" i="15"/>
  <c r="J92" i="15"/>
  <c r="I92" i="15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N67" i="15"/>
  <c r="M67" i="15"/>
  <c r="L67" i="15"/>
  <c r="J65" i="15"/>
  <c r="I65" i="15"/>
  <c r="J64" i="15"/>
  <c r="I64" i="15"/>
  <c r="N61" i="15"/>
  <c r="L61" i="15"/>
  <c r="L59" i="15"/>
  <c r="L58" i="15"/>
  <c r="N57" i="15"/>
  <c r="M57" i="15"/>
  <c r="N54" i="15"/>
  <c r="M54" i="15"/>
  <c r="L54" i="15"/>
  <c r="N49" i="15"/>
  <c r="L49" i="15"/>
  <c r="M49" i="15" s="1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M34" i="15"/>
  <c r="P34" i="15" s="1"/>
  <c r="P33" i="15"/>
  <c r="M33" i="15"/>
  <c r="M32" i="15"/>
  <c r="P32" i="15" s="1"/>
  <c r="P31" i="15"/>
  <c r="M31" i="15"/>
  <c r="P29" i="15"/>
  <c r="M29" i="15"/>
  <c r="O25" i="15"/>
  <c r="N25" i="15"/>
  <c r="M25" i="15"/>
  <c r="P25" i="15" s="1"/>
  <c r="L25" i="15"/>
  <c r="P24" i="15"/>
  <c r="N24" i="15"/>
  <c r="M24" i="15"/>
  <c r="N23" i="15"/>
  <c r="M23" i="15"/>
  <c r="O21" i="15"/>
  <c r="N21" i="15"/>
  <c r="M21" i="15"/>
  <c r="L21" i="15"/>
  <c r="L19" i="15" s="1"/>
  <c r="O19" i="15"/>
  <c r="O15" i="15"/>
  <c r="N15" i="15"/>
  <c r="L15" i="15"/>
  <c r="M14" i="15"/>
  <c r="P14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3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M312" i="14" s="1"/>
  <c r="P312" i="14" s="1"/>
  <c r="O313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O253" i="14"/>
  <c r="O251" i="14"/>
  <c r="N251" i="14"/>
  <c r="M251" i="14"/>
  <c r="P251" i="14" s="1"/>
  <c r="L251" i="14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O95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P67" i="14"/>
  <c r="N67" i="14"/>
  <c r="M67" i="14"/>
  <c r="L67" i="14"/>
  <c r="O67" i="14" s="1"/>
  <c r="J65" i="14"/>
  <c r="I65" i="14"/>
  <c r="J64" i="14"/>
  <c r="I64" i="14"/>
  <c r="N61" i="14"/>
  <c r="L61" i="14"/>
  <c r="L59" i="14"/>
  <c r="L58" i="14"/>
  <c r="N57" i="14"/>
  <c r="M57" i="14"/>
  <c r="P54" i="14"/>
  <c r="O54" i="14"/>
  <c r="N54" i="14"/>
  <c r="M54" i="14"/>
  <c r="L54" i="14"/>
  <c r="N49" i="14"/>
  <c r="L49" i="14"/>
  <c r="L47" i="14"/>
  <c r="L46" i="14"/>
  <c r="N45" i="14"/>
  <c r="M45" i="14"/>
  <c r="P42" i="14"/>
  <c r="N42" i="14"/>
  <c r="M42" i="14"/>
  <c r="L42" i="14"/>
  <c r="P36" i="14"/>
  <c r="O36" i="14"/>
  <c r="P35" i="14"/>
  <c r="O35" i="14"/>
  <c r="M34" i="14"/>
  <c r="P34" i="14" s="1"/>
  <c r="P33" i="14"/>
  <c r="M33" i="14"/>
  <c r="P32" i="14"/>
  <c r="M32" i="14"/>
  <c r="M30" i="14" s="1"/>
  <c r="P30" i="14" s="1"/>
  <c r="M31" i="14"/>
  <c r="O25" i="14"/>
  <c r="N25" i="14"/>
  <c r="N19" i="14" s="1"/>
  <c r="M25" i="14"/>
  <c r="L25" i="14"/>
  <c r="P24" i="14"/>
  <c r="N24" i="14"/>
  <c r="M24" i="14"/>
  <c r="N23" i="14"/>
  <c r="M23" i="14"/>
  <c r="P23" i="14" s="1"/>
  <c r="O21" i="14"/>
  <c r="N21" i="14"/>
  <c r="M21" i="14"/>
  <c r="L21" i="14"/>
  <c r="L19" i="14"/>
  <c r="O19" i="14" s="1"/>
  <c r="N15" i="14"/>
  <c r="L15" i="14"/>
  <c r="O15" i="14" s="1"/>
  <c r="M14" i="14"/>
  <c r="P14" i="14" s="1"/>
  <c r="M13" i="14"/>
  <c r="P13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6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M331" i="13" s="1"/>
  <c r="M329" i="13" s="1"/>
  <c r="O332" i="13"/>
  <c r="P330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M312" i="13" s="1"/>
  <c r="P312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P272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P252" i="13" s="1"/>
  <c r="O253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M140" i="13" s="1"/>
  <c r="O143" i="13"/>
  <c r="P141" i="13"/>
  <c r="O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M118" i="13" s="1"/>
  <c r="P118" i="13" s="1"/>
  <c r="O121" i="13"/>
  <c r="O119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O97" i="13"/>
  <c r="O95" i="13"/>
  <c r="N95" i="13"/>
  <c r="M95" i="13"/>
  <c r="P95" i="13" s="1"/>
  <c r="L95" i="13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N54" i="13"/>
  <c r="M54" i="13"/>
  <c r="L54" i="13"/>
  <c r="O54" i="13" s="1"/>
  <c r="N49" i="13"/>
  <c r="L49" i="13"/>
  <c r="L47" i="13"/>
  <c r="L46" i="13"/>
  <c r="N45" i="13"/>
  <c r="M45" i="13"/>
  <c r="P42" i="13"/>
  <c r="N42" i="13"/>
  <c r="M42" i="13"/>
  <c r="L42" i="13"/>
  <c r="O42" i="13" s="1"/>
  <c r="P36" i="13"/>
  <c r="O36" i="13"/>
  <c r="P35" i="13"/>
  <c r="O35" i="13"/>
  <c r="P34" i="13"/>
  <c r="M34" i="13"/>
  <c r="P33" i="13"/>
  <c r="M33" i="13"/>
  <c r="M32" i="13"/>
  <c r="M31" i="13"/>
  <c r="P31" i="13" s="1"/>
  <c r="M29" i="13"/>
  <c r="P29" i="13" s="1"/>
  <c r="N25" i="13"/>
  <c r="N15" i="13" s="1"/>
  <c r="M25" i="13"/>
  <c r="L25" i="13"/>
  <c r="O25" i="13" s="1"/>
  <c r="P24" i="13"/>
  <c r="N24" i="13"/>
  <c r="M24" i="13"/>
  <c r="N23" i="13"/>
  <c r="M23" i="13"/>
  <c r="P23" i="13" s="1"/>
  <c r="P21" i="13"/>
  <c r="O21" i="13"/>
  <c r="N21" i="13"/>
  <c r="M21" i="13"/>
  <c r="L21" i="13"/>
  <c r="N19" i="13"/>
  <c r="M14" i="13"/>
  <c r="P14" i="13" s="1"/>
  <c r="M13" i="13"/>
  <c r="P13" i="13" s="1"/>
  <c r="M11" i="13"/>
  <c r="P11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P292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P272" i="12"/>
  <c r="N272" i="12"/>
  <c r="M272" i="12"/>
  <c r="L272" i="12"/>
  <c r="O272" i="12" s="1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O251" i="12"/>
  <c r="N251" i="12"/>
  <c r="M251" i="12"/>
  <c r="P251" i="12" s="1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P120" i="12" s="1"/>
  <c r="O121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M96" i="12" s="1"/>
  <c r="P96" i="12" s="1"/>
  <c r="O97" i="12"/>
  <c r="N95" i="12"/>
  <c r="M95" i="12"/>
  <c r="P95" i="12" s="1"/>
  <c r="L95" i="12"/>
  <c r="J93" i="12"/>
  <c r="I93" i="12"/>
  <c r="K93" i="12" s="1"/>
  <c r="J92" i="12"/>
  <c r="I92" i="12"/>
  <c r="K92" i="12" s="1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O69" i="12"/>
  <c r="O67" i="12"/>
  <c r="N67" i="12"/>
  <c r="M67" i="12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O54" i="12"/>
  <c r="N54" i="12"/>
  <c r="M54" i="12"/>
  <c r="L54" i="12"/>
  <c r="N49" i="12"/>
  <c r="L49" i="12"/>
  <c r="L47" i="12"/>
  <c r="L46" i="12"/>
  <c r="N45" i="12"/>
  <c r="M45" i="12"/>
  <c r="M43" i="12" s="1"/>
  <c r="O42" i="12"/>
  <c r="N42" i="12"/>
  <c r="M42" i="12"/>
  <c r="L42" i="12"/>
  <c r="P36" i="12"/>
  <c r="O36" i="12"/>
  <c r="P35" i="12"/>
  <c r="O35" i="12"/>
  <c r="M34" i="12"/>
  <c r="P34" i="12" s="1"/>
  <c r="P33" i="12"/>
  <c r="M33" i="12"/>
  <c r="M32" i="12"/>
  <c r="M30" i="12" s="1"/>
  <c r="P30" i="12" s="1"/>
  <c r="P31" i="12"/>
  <c r="M31" i="12"/>
  <c r="M29" i="12" s="1"/>
  <c r="P29" i="12"/>
  <c r="O25" i="12"/>
  <c r="N25" i="12"/>
  <c r="N19" i="12" s="1"/>
  <c r="M25" i="12"/>
  <c r="M15" i="12" s="1"/>
  <c r="P15" i="12" s="1"/>
  <c r="L25" i="12"/>
  <c r="N24" i="12"/>
  <c r="M24" i="12"/>
  <c r="P24" i="12" s="1"/>
  <c r="P23" i="12"/>
  <c r="N23" i="12"/>
  <c r="M23" i="12"/>
  <c r="O21" i="12"/>
  <c r="N21" i="12"/>
  <c r="M21" i="12"/>
  <c r="L21" i="12"/>
  <c r="L19" i="12"/>
  <c r="O15" i="12"/>
  <c r="N15" i="12"/>
  <c r="L15" i="12"/>
  <c r="M14" i="12"/>
  <c r="P14" i="12" s="1"/>
  <c r="P13" i="12"/>
  <c r="M13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2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N272" i="11"/>
  <c r="M272" i="11"/>
  <c r="P272" i="11" s="1"/>
  <c r="L272" i="11"/>
  <c r="O272" i="11" s="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O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N141" i="11"/>
  <c r="M141" i="11"/>
  <c r="L141" i="1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N119" i="11"/>
  <c r="M119" i="11"/>
  <c r="L119" i="11"/>
  <c r="O119" i="11" s="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L100" i="11"/>
  <c r="L99" i="11"/>
  <c r="N98" i="11"/>
  <c r="M98" i="11"/>
  <c r="O97" i="11"/>
  <c r="N95" i="11"/>
  <c r="M95" i="11"/>
  <c r="L95" i="1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P67" i="11"/>
  <c r="N67" i="11"/>
  <c r="M67" i="1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N55" i="11" s="1"/>
  <c r="N53" i="11" s="1"/>
  <c r="M57" i="11"/>
  <c r="N54" i="11"/>
  <c r="M54" i="11"/>
  <c r="L54" i="11"/>
  <c r="N49" i="11"/>
  <c r="L49" i="11"/>
  <c r="O49" i="11" s="1"/>
  <c r="L47" i="11"/>
  <c r="L46" i="11"/>
  <c r="N45" i="11"/>
  <c r="M45" i="11"/>
  <c r="M43" i="11" s="1"/>
  <c r="N42" i="11"/>
  <c r="M42" i="11"/>
  <c r="P42" i="11" s="1"/>
  <c r="L42" i="11"/>
  <c r="O42" i="11" s="1"/>
  <c r="P36" i="11"/>
  <c r="O36" i="11"/>
  <c r="P35" i="11"/>
  <c r="O35" i="11"/>
  <c r="P34" i="11"/>
  <c r="M34" i="11"/>
  <c r="P33" i="11"/>
  <c r="M33" i="11"/>
  <c r="M32" i="11"/>
  <c r="M31" i="11"/>
  <c r="M29" i="11" s="1"/>
  <c r="O25" i="11"/>
  <c r="N25" i="11"/>
  <c r="N15" i="11" s="1"/>
  <c r="M25" i="11"/>
  <c r="P25" i="11" s="1"/>
  <c r="L25" i="11"/>
  <c r="N24" i="11"/>
  <c r="M24" i="11"/>
  <c r="N23" i="11"/>
  <c r="M23" i="11"/>
  <c r="P23" i="11" s="1"/>
  <c r="N21" i="11"/>
  <c r="M21" i="11"/>
  <c r="L21" i="11"/>
  <c r="O21" i="11" s="1"/>
  <c r="N19" i="11"/>
  <c r="M19" i="11"/>
  <c r="L19" i="11"/>
  <c r="O19" i="11" s="1"/>
  <c r="L15" i="11"/>
  <c r="O15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M310" i="10" s="1"/>
  <c r="P310" i="10" s="1"/>
  <c r="O313" i="10"/>
  <c r="P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P272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O251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O95" i="10"/>
  <c r="N95" i="10"/>
  <c r="M95" i="10"/>
  <c r="P95" i="10" s="1"/>
  <c r="L95" i="10"/>
  <c r="J93" i="10"/>
  <c r="I93" i="10"/>
  <c r="J92" i="10"/>
  <c r="I92" i="10"/>
  <c r="J90" i="10"/>
  <c r="J89" i="10"/>
  <c r="J88" i="10"/>
  <c r="I88" i="10"/>
  <c r="K88" i="10" s="1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M66" i="10" s="1"/>
  <c r="O69" i="10"/>
  <c r="P67" i="10"/>
  <c r="O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P54" i="10"/>
  <c r="O54" i="10"/>
  <c r="N54" i="10"/>
  <c r="M54" i="10"/>
  <c r="L54" i="10"/>
  <c r="N49" i="10"/>
  <c r="L49" i="10"/>
  <c r="O49" i="10" s="1"/>
  <c r="L47" i="10"/>
  <c r="L46" i="10"/>
  <c r="N45" i="10"/>
  <c r="M45" i="10"/>
  <c r="P42" i="10"/>
  <c r="N42" i="10"/>
  <c r="M42" i="10"/>
  <c r="L42" i="10"/>
  <c r="O42" i="10" s="1"/>
  <c r="P36" i="10"/>
  <c r="O36" i="10"/>
  <c r="P35" i="10"/>
  <c r="O35" i="10"/>
  <c r="M34" i="10"/>
  <c r="P34" i="10" s="1"/>
  <c r="P33" i="10"/>
  <c r="M33" i="10"/>
  <c r="P32" i="10"/>
  <c r="M32" i="10"/>
  <c r="M30" i="10" s="1"/>
  <c r="P30" i="10" s="1"/>
  <c r="M31" i="10"/>
  <c r="N25" i="10"/>
  <c r="M25" i="10"/>
  <c r="P25" i="10" s="1"/>
  <c r="L25" i="10"/>
  <c r="O25" i="10" s="1"/>
  <c r="P24" i="10"/>
  <c r="N24" i="10"/>
  <c r="M24" i="10"/>
  <c r="P23" i="10"/>
  <c r="N23" i="10"/>
  <c r="M23" i="10"/>
  <c r="M13" i="10" s="1"/>
  <c r="P13" i="10" s="1"/>
  <c r="O21" i="10"/>
  <c r="N21" i="10"/>
  <c r="M21" i="10"/>
  <c r="P21" i="10" s="1"/>
  <c r="L21" i="10"/>
  <c r="L19" i="10"/>
  <c r="P15" i="10"/>
  <c r="M15" i="10"/>
  <c r="P14" i="10"/>
  <c r="M14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2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O272" i="9"/>
  <c r="N272" i="9"/>
  <c r="M272" i="9"/>
  <c r="P272" i="9" s="1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P221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P120" i="9" s="1"/>
  <c r="O121" i="9"/>
  <c r="O119" i="9"/>
  <c r="N119" i="9"/>
  <c r="M119" i="9"/>
  <c r="P119" i="9" s="1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N95" i="9"/>
  <c r="M95" i="9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M74" i="9" s="1"/>
  <c r="L72" i="9"/>
  <c r="L71" i="9"/>
  <c r="N70" i="9"/>
  <c r="M70" i="9"/>
  <c r="O69" i="9"/>
  <c r="P67" i="9"/>
  <c r="O67" i="9"/>
  <c r="N67" i="9"/>
  <c r="M67" i="9"/>
  <c r="L67" i="9"/>
  <c r="J65" i="9"/>
  <c r="I65" i="9"/>
  <c r="J64" i="9"/>
  <c r="I64" i="9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O49" i="9" s="1"/>
  <c r="L47" i="9"/>
  <c r="L46" i="9"/>
  <c r="N45" i="9"/>
  <c r="M45" i="9"/>
  <c r="P42" i="9"/>
  <c r="O42" i="9"/>
  <c r="N42" i="9"/>
  <c r="M42" i="9"/>
  <c r="L42" i="9"/>
  <c r="P36" i="9"/>
  <c r="O36" i="9"/>
  <c r="P35" i="9"/>
  <c r="O35" i="9"/>
  <c r="P34" i="9"/>
  <c r="M34" i="9"/>
  <c r="P33" i="9"/>
  <c r="M33" i="9"/>
  <c r="M32" i="9"/>
  <c r="P31" i="9"/>
  <c r="M31" i="9"/>
  <c r="M29" i="9"/>
  <c r="P29" i="9" s="1"/>
  <c r="P25" i="9"/>
  <c r="N25" i="9"/>
  <c r="M25" i="9"/>
  <c r="L25" i="9"/>
  <c r="O25" i="9" s="1"/>
  <c r="P24" i="9"/>
  <c r="N24" i="9"/>
  <c r="M24" i="9"/>
  <c r="N23" i="9"/>
  <c r="M23" i="9"/>
  <c r="P21" i="9"/>
  <c r="O21" i="9"/>
  <c r="N21" i="9"/>
  <c r="N19" i="9" s="1"/>
  <c r="M21" i="9"/>
  <c r="L21" i="9"/>
  <c r="L19" i="9" s="1"/>
  <c r="P19" i="9"/>
  <c r="M19" i="9"/>
  <c r="P15" i="9"/>
  <c r="N15" i="9"/>
  <c r="M15" i="9"/>
  <c r="M14" i="9"/>
  <c r="P14" i="9" s="1"/>
  <c r="M11" i="9"/>
  <c r="P11" i="9" s="1"/>
  <c r="M9" i="9"/>
  <c r="P9" i="9" s="1"/>
  <c r="J677" i="8"/>
  <c r="J676" i="8"/>
  <c r="J675" i="8"/>
  <c r="J674" i="8"/>
  <c r="J673" i="8"/>
  <c r="J672" i="8"/>
  <c r="N671" i="8"/>
  <c r="L671" i="8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J663" i="8"/>
  <c r="I663" i="8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M312" i="8" s="1"/>
  <c r="P312" i="8" s="1"/>
  <c r="O313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M292" i="8" s="1"/>
  <c r="P292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N272" i="8"/>
  <c r="M272" i="8"/>
  <c r="P272" i="8" s="1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N251" i="8"/>
  <c r="M251" i="8"/>
  <c r="P251" i="8" s="1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O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M140" i="8" s="1"/>
  <c r="O143" i="8"/>
  <c r="P141" i="8"/>
  <c r="N141" i="8"/>
  <c r="M141" i="8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N119" i="8"/>
  <c r="M119" i="8"/>
  <c r="P119" i="8" s="1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L100" i="8"/>
  <c r="L99" i="8"/>
  <c r="N98" i="8"/>
  <c r="M98" i="8"/>
  <c r="P98" i="8" s="1"/>
  <c r="O97" i="8"/>
  <c r="P95" i="8"/>
  <c r="N95" i="8"/>
  <c r="M95" i="8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O67" i="8"/>
  <c r="N67" i="8"/>
  <c r="M67" i="8"/>
  <c r="P67" i="8" s="1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M53" i="8" s="1"/>
  <c r="P54" i="8"/>
  <c r="N54" i="8"/>
  <c r="M54" i="8"/>
  <c r="L54" i="8"/>
  <c r="O54" i="8" s="1"/>
  <c r="N49" i="8"/>
  <c r="L49" i="8"/>
  <c r="L47" i="8"/>
  <c r="L46" i="8"/>
  <c r="N45" i="8"/>
  <c r="M45" i="8"/>
  <c r="N42" i="8"/>
  <c r="M42" i="8"/>
  <c r="P42" i="8" s="1"/>
  <c r="L42" i="8"/>
  <c r="P36" i="8"/>
  <c r="O36" i="8"/>
  <c r="P35" i="8"/>
  <c r="O35" i="8"/>
  <c r="P34" i="8"/>
  <c r="M34" i="8"/>
  <c r="M33" i="8"/>
  <c r="P33" i="8" s="1"/>
  <c r="P32" i="8"/>
  <c r="M32" i="8"/>
  <c r="M30" i="8" s="1"/>
  <c r="M28" i="8" s="1"/>
  <c r="P28" i="8" s="1"/>
  <c r="M31" i="8"/>
  <c r="P31" i="8" s="1"/>
  <c r="P29" i="8"/>
  <c r="M29" i="8"/>
  <c r="P25" i="8"/>
  <c r="O25" i="8"/>
  <c r="N25" i="8"/>
  <c r="N15" i="8" s="1"/>
  <c r="M25" i="8"/>
  <c r="L25" i="8"/>
  <c r="L19" i="8" s="1"/>
  <c r="N24" i="8"/>
  <c r="M24" i="8"/>
  <c r="P24" i="8" s="1"/>
  <c r="P23" i="8"/>
  <c r="N23" i="8"/>
  <c r="M23" i="8"/>
  <c r="P21" i="8"/>
  <c r="N21" i="8"/>
  <c r="M21" i="8"/>
  <c r="L21" i="8"/>
  <c r="O21" i="8" s="1"/>
  <c r="M19" i="8"/>
  <c r="M15" i="8"/>
  <c r="P15" i="8" s="1"/>
  <c r="M13" i="8"/>
  <c r="P13" i="8" s="1"/>
  <c r="P11" i="8"/>
  <c r="M11" i="8"/>
  <c r="M9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M292" i="7" s="1"/>
  <c r="P292" i="7" s="1"/>
  <c r="O293" i="7"/>
  <c r="O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P273" i="7" s="1"/>
  <c r="O274" i="7"/>
  <c r="N272" i="7"/>
  <c r="M272" i="7"/>
  <c r="P272" i="7" s="1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O253" i="7"/>
  <c r="P251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P141" i="7"/>
  <c r="N141" i="7"/>
  <c r="M141" i="7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P120" i="7" s="1"/>
  <c r="O121" i="7"/>
  <c r="N119" i="7"/>
  <c r="M119" i="7"/>
  <c r="P119" i="7" s="1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P95" i="7"/>
  <c r="N95" i="7"/>
  <c r="M95" i="7"/>
  <c r="L95" i="7"/>
  <c r="O95" i="7" s="1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P54" i="7"/>
  <c r="N54" i="7"/>
  <c r="M54" i="7"/>
  <c r="L54" i="7"/>
  <c r="O54" i="7" s="1"/>
  <c r="N49" i="7"/>
  <c r="L49" i="7"/>
  <c r="L47" i="7"/>
  <c r="L46" i="7"/>
  <c r="N45" i="7"/>
  <c r="M45" i="7"/>
  <c r="O42" i="7"/>
  <c r="N42" i="7"/>
  <c r="M42" i="7"/>
  <c r="L42" i="7"/>
  <c r="P36" i="7"/>
  <c r="O36" i="7"/>
  <c r="P35" i="7"/>
  <c r="O35" i="7"/>
  <c r="P34" i="7"/>
  <c r="M34" i="7"/>
  <c r="M33" i="7"/>
  <c r="M32" i="7"/>
  <c r="P32" i="7" s="1"/>
  <c r="P31" i="7"/>
  <c r="M31" i="7"/>
  <c r="M29" i="7" s="1"/>
  <c r="M30" i="7"/>
  <c r="P30" i="7" s="1"/>
  <c r="P25" i="7"/>
  <c r="N25" i="7"/>
  <c r="M25" i="7"/>
  <c r="L25" i="7"/>
  <c r="O25" i="7" s="1"/>
  <c r="N24" i="7"/>
  <c r="M24" i="7"/>
  <c r="N23" i="7"/>
  <c r="M23" i="7"/>
  <c r="P23" i="7" s="1"/>
  <c r="N21" i="7"/>
  <c r="M21" i="7"/>
  <c r="L21" i="7"/>
  <c r="N19" i="7"/>
  <c r="O15" i="7"/>
  <c r="N15" i="7"/>
  <c r="M15" i="7"/>
  <c r="P15" i="7" s="1"/>
  <c r="L15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2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P330" i="6"/>
  <c r="O330" i="6"/>
  <c r="N330" i="6"/>
  <c r="M330" i="6"/>
  <c r="L330" i="6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O311" i="6"/>
  <c r="N311" i="6"/>
  <c r="M311" i="6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P291" i="6"/>
  <c r="N291" i="6"/>
  <c r="M291" i="6"/>
  <c r="L291" i="6"/>
  <c r="O291" i="6" s="1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P141" i="6" s="1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N119" i="6"/>
  <c r="M119" i="6"/>
  <c r="L119" i="6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P95" i="6" s="1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N54" i="6"/>
  <c r="M54" i="6"/>
  <c r="P54" i="6" s="1"/>
  <c r="L54" i="6"/>
  <c r="N49" i="6"/>
  <c r="L49" i="6"/>
  <c r="M49" i="6" s="1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M34" i="6"/>
  <c r="P34" i="6" s="1"/>
  <c r="P33" i="6"/>
  <c r="M33" i="6"/>
  <c r="M32" i="6"/>
  <c r="P32" i="6" s="1"/>
  <c r="P31" i="6"/>
  <c r="M31" i="6"/>
  <c r="M29" i="6" s="1"/>
  <c r="M30" i="6"/>
  <c r="P30" i="6" s="1"/>
  <c r="N25" i="6"/>
  <c r="M25" i="6"/>
  <c r="P25" i="6" s="1"/>
  <c r="L25" i="6"/>
  <c r="O25" i="6" s="1"/>
  <c r="P24" i="6"/>
  <c r="N24" i="6"/>
  <c r="M24" i="6"/>
  <c r="N23" i="6"/>
  <c r="M23" i="6"/>
  <c r="P23" i="6" s="1"/>
  <c r="O21" i="6"/>
  <c r="N21" i="6"/>
  <c r="M21" i="6"/>
  <c r="L21" i="6"/>
  <c r="O19" i="6"/>
  <c r="L19" i="6"/>
  <c r="O15" i="6"/>
  <c r="N15" i="6"/>
  <c r="L15" i="6"/>
  <c r="M14" i="6"/>
  <c r="P14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N648" i="5"/>
  <c r="L648" i="5"/>
  <c r="J648" i="5"/>
  <c r="I648" i="5"/>
  <c r="J647" i="5"/>
  <c r="J646" i="5"/>
  <c r="O639" i="5"/>
  <c r="O637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P312" i="5" s="1"/>
  <c r="O313" i="5"/>
  <c r="N311" i="5"/>
  <c r="M311" i="5"/>
  <c r="P311" i="5" s="1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P272" i="5"/>
  <c r="N272" i="5"/>
  <c r="M272" i="5"/>
  <c r="L272" i="5"/>
  <c r="O272" i="5" s="1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O253" i="5"/>
  <c r="N251" i="5"/>
  <c r="M251" i="5"/>
  <c r="P251" i="5" s="1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P221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O141" i="5"/>
  <c r="N141" i="5"/>
  <c r="M141" i="5"/>
  <c r="P141" i="5" s="1"/>
  <c r="L141" i="5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N119" i="5"/>
  <c r="M119" i="5"/>
  <c r="P119" i="5" s="1"/>
  <c r="L119" i="5"/>
  <c r="O119" i="5" s="1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N95" i="5"/>
  <c r="M95" i="5"/>
  <c r="P95" i="5" s="1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O69" i="5"/>
  <c r="N67" i="5"/>
  <c r="M67" i="5"/>
  <c r="P67" i="5" s="1"/>
  <c r="L67" i="5"/>
  <c r="O67" i="5" s="1"/>
  <c r="J65" i="5"/>
  <c r="I65" i="5"/>
  <c r="J64" i="5"/>
  <c r="I64" i="5"/>
  <c r="N61" i="5"/>
  <c r="L61" i="5"/>
  <c r="O61" i="5" s="1"/>
  <c r="L59" i="5"/>
  <c r="L58" i="5"/>
  <c r="N57" i="5"/>
  <c r="M57" i="5"/>
  <c r="M55" i="5" s="1"/>
  <c r="N54" i="5"/>
  <c r="M54" i="5"/>
  <c r="P54" i="5" s="1"/>
  <c r="L54" i="5"/>
  <c r="O54" i="5" s="1"/>
  <c r="N49" i="5"/>
  <c r="L49" i="5"/>
  <c r="L47" i="5"/>
  <c r="L46" i="5"/>
  <c r="N45" i="5"/>
  <c r="M45" i="5"/>
  <c r="N42" i="5"/>
  <c r="M42" i="5"/>
  <c r="L42" i="5"/>
  <c r="P36" i="5"/>
  <c r="O36" i="5"/>
  <c r="P35" i="5"/>
  <c r="O35" i="5"/>
  <c r="P34" i="5"/>
  <c r="M34" i="5"/>
  <c r="M33" i="5"/>
  <c r="P33" i="5" s="1"/>
  <c r="M32" i="5"/>
  <c r="P32" i="5" s="1"/>
  <c r="P31" i="5"/>
  <c r="M31" i="5"/>
  <c r="M29" i="5" s="1"/>
  <c r="M28" i="5" s="1"/>
  <c r="P28" i="5" s="1"/>
  <c r="M30" i="5"/>
  <c r="P30" i="5" s="1"/>
  <c r="P29" i="5"/>
  <c r="P25" i="5"/>
  <c r="O25" i="5"/>
  <c r="N25" i="5"/>
  <c r="M25" i="5"/>
  <c r="L25" i="5"/>
  <c r="N24" i="5"/>
  <c r="M24" i="5"/>
  <c r="N23" i="5"/>
  <c r="M23" i="5"/>
  <c r="P23" i="5" s="1"/>
  <c r="N21" i="5"/>
  <c r="M21" i="5"/>
  <c r="P21" i="5" s="1"/>
  <c r="L21" i="5"/>
  <c r="N19" i="5"/>
  <c r="M19" i="5"/>
  <c r="N15" i="5"/>
  <c r="M15" i="5"/>
  <c r="P15" i="5" s="1"/>
  <c r="L15" i="5"/>
  <c r="O15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O353" i="4" s="1"/>
  <c r="N352" i="4"/>
  <c r="L352" i="4"/>
  <c r="O352" i="4" s="1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M331" i="4" s="1"/>
  <c r="O332" i="4"/>
  <c r="N330" i="4"/>
  <c r="M330" i="4"/>
  <c r="P330" i="4" s="1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O272" i="4"/>
  <c r="N272" i="4"/>
  <c r="M272" i="4"/>
  <c r="L272" i="4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P254" i="4" s="1"/>
  <c r="O253" i="4"/>
  <c r="O251" i="4"/>
  <c r="N251" i="4"/>
  <c r="M251" i="4"/>
  <c r="L251" i="4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P221" i="4"/>
  <c r="N221" i="4"/>
  <c r="M221" i="4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O141" i="4"/>
  <c r="N141" i="4"/>
  <c r="M141" i="4"/>
  <c r="L141" i="4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O119" i="4"/>
  <c r="N119" i="4"/>
  <c r="M119" i="4"/>
  <c r="L119" i="4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O97" i="4"/>
  <c r="N95" i="4"/>
  <c r="M95" i="4"/>
  <c r="L95" i="4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N54" i="4"/>
  <c r="M54" i="4"/>
  <c r="L54" i="4"/>
  <c r="N49" i="4"/>
  <c r="L49" i="4"/>
  <c r="M49" i="4" s="1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M34" i="4"/>
  <c r="P34" i="4" s="1"/>
  <c r="P33" i="4"/>
  <c r="M33" i="4"/>
  <c r="M32" i="4"/>
  <c r="P32" i="4" s="1"/>
  <c r="P31" i="4"/>
  <c r="M31" i="4"/>
  <c r="M29" i="4" s="1"/>
  <c r="N25" i="4"/>
  <c r="N15" i="4" s="1"/>
  <c r="M25" i="4"/>
  <c r="P25" i="4" s="1"/>
  <c r="L25" i="4"/>
  <c r="O25" i="4" s="1"/>
  <c r="N24" i="4"/>
  <c r="M24" i="4"/>
  <c r="P24" i="4" s="1"/>
  <c r="P23" i="4"/>
  <c r="N23" i="4"/>
  <c r="M23" i="4"/>
  <c r="P21" i="4"/>
  <c r="N21" i="4"/>
  <c r="M21" i="4"/>
  <c r="M19" i="4" s="1"/>
  <c r="L21" i="4"/>
  <c r="O21" i="4" s="1"/>
  <c r="M13" i="4"/>
  <c r="P13" i="4" s="1"/>
  <c r="M11" i="4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4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M337" i="3" s="1"/>
  <c r="L335" i="3"/>
  <c r="L334" i="3"/>
  <c r="N333" i="3"/>
  <c r="M333" i="3"/>
  <c r="O332" i="3"/>
  <c r="P330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L316" i="3"/>
  <c r="L315" i="3"/>
  <c r="N314" i="3"/>
  <c r="M314" i="3"/>
  <c r="P314" i="3" s="1"/>
  <c r="O313" i="3"/>
  <c r="P311" i="3"/>
  <c r="O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P291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O272" i="3"/>
  <c r="N272" i="3"/>
  <c r="M272" i="3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P254" i="3" s="1"/>
  <c r="O253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N221" i="3"/>
  <c r="M221" i="3"/>
  <c r="P221" i="3" s="1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P141" i="3" s="1"/>
  <c r="L141" i="3"/>
  <c r="J138" i="3"/>
  <c r="I138" i="3"/>
  <c r="K138" i="3" s="1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P95" i="3" s="1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P67" i="3"/>
  <c r="O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P54" i="3"/>
  <c r="O54" i="3"/>
  <c r="N54" i="3"/>
  <c r="M54" i="3"/>
  <c r="L54" i="3"/>
  <c r="N49" i="3"/>
  <c r="L49" i="3"/>
  <c r="O49" i="3" s="1"/>
  <c r="L47" i="3"/>
  <c r="L46" i="3"/>
  <c r="N45" i="3"/>
  <c r="M45" i="3"/>
  <c r="P42" i="3"/>
  <c r="O42" i="3"/>
  <c r="N42" i="3"/>
  <c r="M42" i="3"/>
  <c r="L42" i="3"/>
  <c r="P36" i="3"/>
  <c r="O36" i="3"/>
  <c r="P35" i="3"/>
  <c r="O35" i="3"/>
  <c r="P34" i="3"/>
  <c r="M34" i="3"/>
  <c r="P33" i="3"/>
  <c r="M33" i="3"/>
  <c r="M32" i="3"/>
  <c r="M30" i="3" s="1"/>
  <c r="P30" i="3" s="1"/>
  <c r="M31" i="3"/>
  <c r="P31" i="3" s="1"/>
  <c r="M29" i="3"/>
  <c r="P29" i="3" s="1"/>
  <c r="P25" i="3"/>
  <c r="N25" i="3"/>
  <c r="N15" i="3" s="1"/>
  <c r="M25" i="3"/>
  <c r="L25" i="3"/>
  <c r="O25" i="3" s="1"/>
  <c r="P24" i="3"/>
  <c r="N24" i="3"/>
  <c r="M24" i="3"/>
  <c r="N23" i="3"/>
  <c r="M23" i="3"/>
  <c r="P23" i="3" s="1"/>
  <c r="P21" i="3"/>
  <c r="O21" i="3"/>
  <c r="N21" i="3"/>
  <c r="M21" i="3"/>
  <c r="L21" i="3"/>
  <c r="P19" i="3"/>
  <c r="M19" i="3"/>
  <c r="P15" i="3"/>
  <c r="M15" i="3"/>
  <c r="M14" i="3"/>
  <c r="P14" i="3" s="1"/>
  <c r="M11" i="3"/>
  <c r="P11" i="3" s="1"/>
  <c r="M9" i="3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N650" i="2"/>
  <c r="L650" i="2"/>
  <c r="O650" i="2" s="1"/>
  <c r="J650" i="2"/>
  <c r="I650" i="2"/>
  <c r="K650" i="2" s="1"/>
  <c r="L649" i="2"/>
  <c r="J649" i="2"/>
  <c r="I649" i="2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3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J591" i="2"/>
  <c r="I591" i="2"/>
  <c r="J590" i="2"/>
  <c r="I590" i="2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O293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O251" i="2"/>
  <c r="N251" i="2"/>
  <c r="M251" i="2"/>
  <c r="P251" i="2" s="1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M140" i="2" s="1"/>
  <c r="O143" i="2"/>
  <c r="N141" i="2"/>
  <c r="M141" i="2"/>
  <c r="P141" i="2" s="1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N119" i="2"/>
  <c r="M119" i="2"/>
  <c r="P119" i="2" s="1"/>
  <c r="L119" i="2"/>
  <c r="O119" i="2" s="1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P95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O54" i="2"/>
  <c r="N54" i="2"/>
  <c r="M54" i="2"/>
  <c r="L54" i="2"/>
  <c r="N49" i="2"/>
  <c r="L49" i="2"/>
  <c r="O49" i="2" s="1"/>
  <c r="L47" i="2"/>
  <c r="L46" i="2"/>
  <c r="N45" i="2"/>
  <c r="M45" i="2"/>
  <c r="M43" i="2" s="1"/>
  <c r="M41" i="2" s="1"/>
  <c r="P42" i="2"/>
  <c r="N42" i="2"/>
  <c r="M42" i="2"/>
  <c r="L42" i="2"/>
  <c r="O42" i="2" s="1"/>
  <c r="P36" i="2"/>
  <c r="O36" i="2"/>
  <c r="P35" i="2"/>
  <c r="O35" i="2"/>
  <c r="M34" i="2"/>
  <c r="P34" i="2" s="1"/>
  <c r="P33" i="2"/>
  <c r="M33" i="2"/>
  <c r="M32" i="2"/>
  <c r="M31" i="2"/>
  <c r="P31" i="2" s="1"/>
  <c r="M29" i="2"/>
  <c r="P29" i="2" s="1"/>
  <c r="N25" i="2"/>
  <c r="M25" i="2"/>
  <c r="P25" i="2" s="1"/>
  <c r="L25" i="2"/>
  <c r="O25" i="2" s="1"/>
  <c r="P24" i="2"/>
  <c r="N24" i="2"/>
  <c r="M24" i="2"/>
  <c r="N23" i="2"/>
  <c r="M23" i="2"/>
  <c r="P21" i="2"/>
  <c r="O21" i="2"/>
  <c r="N21" i="2"/>
  <c r="M21" i="2"/>
  <c r="M19" i="2" s="1"/>
  <c r="L21" i="2"/>
  <c r="L19" i="2" s="1"/>
  <c r="N19" i="2"/>
  <c r="N15" i="2"/>
  <c r="M14" i="2"/>
  <c r="P14" i="2" s="1"/>
  <c r="M11" i="2"/>
  <c r="O639" i="1"/>
  <c r="O637" i="1"/>
  <c r="I548" i="1"/>
  <c r="K548" i="1" s="1"/>
  <c r="I365" i="1"/>
  <c r="K365" i="1" s="1"/>
  <c r="L336" i="1"/>
  <c r="N332" i="1"/>
  <c r="M332" i="1"/>
  <c r="L332" i="1"/>
  <c r="O332" i="1" s="1"/>
  <c r="O330" i="1"/>
  <c r="N330" i="1"/>
  <c r="M330" i="1"/>
  <c r="P330" i="1" s="1"/>
  <c r="L330" i="1"/>
  <c r="L317" i="1"/>
  <c r="O313" i="1"/>
  <c r="N313" i="1"/>
  <c r="M313" i="1"/>
  <c r="L313" i="1"/>
  <c r="P311" i="1"/>
  <c r="O311" i="1"/>
  <c r="N311" i="1"/>
  <c r="M311" i="1"/>
  <c r="L311" i="1"/>
  <c r="J307" i="1"/>
  <c r="L297" i="1"/>
  <c r="O293" i="1"/>
  <c r="N293" i="1"/>
  <c r="M293" i="1"/>
  <c r="L293" i="1"/>
  <c r="N291" i="1"/>
  <c r="M291" i="1"/>
  <c r="P291" i="1" s="1"/>
  <c r="L291" i="1"/>
  <c r="O291" i="1" s="1"/>
  <c r="L278" i="1"/>
  <c r="N274" i="1"/>
  <c r="M274" i="1"/>
  <c r="L274" i="1"/>
  <c r="O274" i="1" s="1"/>
  <c r="P272" i="1"/>
  <c r="O272" i="1"/>
  <c r="N272" i="1"/>
  <c r="M272" i="1"/>
  <c r="L272" i="1"/>
  <c r="L257" i="1"/>
  <c r="O253" i="1"/>
  <c r="N253" i="1"/>
  <c r="M253" i="1"/>
  <c r="L253" i="1"/>
  <c r="P251" i="1"/>
  <c r="N251" i="1"/>
  <c r="M251" i="1"/>
  <c r="J240" i="1"/>
  <c r="L227" i="1"/>
  <c r="O223" i="1"/>
  <c r="N223" i="1"/>
  <c r="M223" i="1"/>
  <c r="L223" i="1"/>
  <c r="M221" i="1"/>
  <c r="P221" i="1" s="1"/>
  <c r="L221" i="1"/>
  <c r="O221" i="1" s="1"/>
  <c r="J214" i="1"/>
  <c r="I214" i="1"/>
  <c r="J198" i="1"/>
  <c r="L147" i="1"/>
  <c r="O143" i="1"/>
  <c r="N143" i="1"/>
  <c r="M143" i="1"/>
  <c r="L143" i="1"/>
  <c r="N141" i="1"/>
  <c r="M141" i="1"/>
  <c r="P141" i="1" s="1"/>
  <c r="L141" i="1"/>
  <c r="O141" i="1" s="1"/>
  <c r="L125" i="1"/>
  <c r="N121" i="1"/>
  <c r="M121" i="1"/>
  <c r="L121" i="1"/>
  <c r="O121" i="1" s="1"/>
  <c r="N119" i="1"/>
  <c r="L119" i="1"/>
  <c r="O119" i="1" s="1"/>
  <c r="L101" i="1"/>
  <c r="N97" i="1"/>
  <c r="M97" i="1"/>
  <c r="L97" i="1"/>
  <c r="O97" i="1" s="1"/>
  <c r="N95" i="1"/>
  <c r="M95" i="1"/>
  <c r="P95" i="1" s="1"/>
  <c r="L95" i="1"/>
  <c r="O95" i="1" s="1"/>
  <c r="L73" i="1"/>
  <c r="N69" i="1"/>
  <c r="M69" i="1"/>
  <c r="L69" i="1"/>
  <c r="O69" i="1" s="1"/>
  <c r="N67" i="1"/>
  <c r="M67" i="1"/>
  <c r="P67" i="1" s="1"/>
  <c r="L67" i="1"/>
  <c r="O67" i="1" s="1"/>
  <c r="L60" i="1"/>
  <c r="L54" i="1" s="1"/>
  <c r="L56" i="1"/>
  <c r="N54" i="1"/>
  <c r="M54" i="1"/>
  <c r="L48" i="1"/>
  <c r="L25" i="1" s="1"/>
  <c r="L44" i="1"/>
  <c r="L21" i="1" s="1"/>
  <c r="O21" i="1" s="1"/>
  <c r="P42" i="1"/>
  <c r="N42" i="1"/>
  <c r="M42" i="1"/>
  <c r="P36" i="1"/>
  <c r="O36" i="1"/>
  <c r="P35" i="1"/>
  <c r="O35" i="1"/>
  <c r="M34" i="1"/>
  <c r="P34" i="1" s="1"/>
  <c r="P33" i="1"/>
  <c r="M33" i="1"/>
  <c r="P32" i="1"/>
  <c r="M32" i="1"/>
  <c r="M31" i="1"/>
  <c r="P31" i="1" s="1"/>
  <c r="M30" i="1"/>
  <c r="P30" i="1" s="1"/>
  <c r="M29" i="1"/>
  <c r="M28" i="1" s="1"/>
  <c r="P28" i="1" s="1"/>
  <c r="N25" i="1"/>
  <c r="M25" i="1"/>
  <c r="P24" i="1"/>
  <c r="N24" i="1"/>
  <c r="M24" i="1"/>
  <c r="N23" i="1"/>
  <c r="M23" i="1"/>
  <c r="M13" i="1" s="1"/>
  <c r="P13" i="1" s="1"/>
  <c r="N21" i="1"/>
  <c r="N19" i="1" s="1"/>
  <c r="M21" i="1"/>
  <c r="M11" i="1" s="1"/>
  <c r="N15" i="1"/>
  <c r="P14" i="1"/>
  <c r="M14" i="1"/>
  <c r="L224" i="11" l="1"/>
  <c r="K482" i="11"/>
  <c r="O533" i="11"/>
  <c r="O380" i="12"/>
  <c r="O383" i="12"/>
  <c r="K533" i="12"/>
  <c r="O535" i="12"/>
  <c r="O564" i="12"/>
  <c r="K617" i="12"/>
  <c r="P57" i="13"/>
  <c r="L70" i="13"/>
  <c r="O70" i="13" s="1"/>
  <c r="K376" i="2"/>
  <c r="M312" i="7"/>
  <c r="P312" i="7" s="1"/>
  <c r="K380" i="7"/>
  <c r="O406" i="7"/>
  <c r="K426" i="7"/>
  <c r="O435" i="7"/>
  <c r="O551" i="7"/>
  <c r="K376" i="8"/>
  <c r="O385" i="8"/>
  <c r="K401" i="8"/>
  <c r="O406" i="8"/>
  <c r="K591" i="8"/>
  <c r="K564" i="12"/>
  <c r="O599" i="12"/>
  <c r="N273" i="13"/>
  <c r="N271" i="13" s="1"/>
  <c r="L333" i="15"/>
  <c r="K377" i="15"/>
  <c r="K418" i="15"/>
  <c r="P275" i="7"/>
  <c r="K450" i="4"/>
  <c r="K497" i="4"/>
  <c r="O535" i="4"/>
  <c r="O564" i="4"/>
  <c r="K368" i="5"/>
  <c r="O459" i="5"/>
  <c r="K201" i="13"/>
  <c r="K176" i="17"/>
  <c r="K185" i="17"/>
  <c r="K499" i="11"/>
  <c r="O566" i="11"/>
  <c r="O601" i="9"/>
  <c r="O584" i="7"/>
  <c r="L98" i="17"/>
  <c r="O98" i="17" s="1"/>
  <c r="J671" i="21"/>
  <c r="N405" i="1"/>
  <c r="K117" i="20"/>
  <c r="L224" i="20"/>
  <c r="O224" i="20" s="1"/>
  <c r="K249" i="20"/>
  <c r="K265" i="20"/>
  <c r="K200" i="21"/>
  <c r="P74" i="3"/>
  <c r="K83" i="3"/>
  <c r="K381" i="15"/>
  <c r="K396" i="15"/>
  <c r="K402" i="15"/>
  <c r="K425" i="15"/>
  <c r="I416" i="1"/>
  <c r="I425" i="1"/>
  <c r="K620" i="8"/>
  <c r="J232" i="1"/>
  <c r="I432" i="1"/>
  <c r="I526" i="1"/>
  <c r="J345" i="1"/>
  <c r="N569" i="1"/>
  <c r="P122" i="13"/>
  <c r="O385" i="16"/>
  <c r="J485" i="1"/>
  <c r="N275" i="1"/>
  <c r="J287" i="1"/>
  <c r="N382" i="1"/>
  <c r="J130" i="1"/>
  <c r="N318" i="1"/>
  <c r="P98" i="6"/>
  <c r="P98" i="7"/>
  <c r="O580" i="14"/>
  <c r="K635" i="14"/>
  <c r="J517" i="1"/>
  <c r="J500" i="1"/>
  <c r="J506" i="1"/>
  <c r="I533" i="1"/>
  <c r="L564" i="1"/>
  <c r="I595" i="1"/>
  <c r="J670" i="1"/>
  <c r="J671" i="3"/>
  <c r="K597" i="8"/>
  <c r="K112" i="9"/>
  <c r="K343" i="10"/>
  <c r="K370" i="10"/>
  <c r="K376" i="10"/>
  <c r="K380" i="10"/>
  <c r="N68" i="12"/>
  <c r="P68" i="12" s="1"/>
  <c r="N354" i="1"/>
  <c r="J391" i="1"/>
  <c r="I397" i="1"/>
  <c r="J412" i="1"/>
  <c r="I423" i="1"/>
  <c r="I429" i="1"/>
  <c r="K481" i="20"/>
  <c r="K499" i="20"/>
  <c r="O566" i="20"/>
  <c r="M294" i="1"/>
  <c r="J231" i="1"/>
  <c r="I289" i="1"/>
  <c r="N273" i="8"/>
  <c r="N271" i="8" s="1"/>
  <c r="J76" i="1"/>
  <c r="I84" i="1"/>
  <c r="L100" i="1"/>
  <c r="I341" i="1"/>
  <c r="I464" i="1"/>
  <c r="J651" i="16"/>
  <c r="J671" i="16"/>
  <c r="N439" i="1"/>
  <c r="J446" i="1"/>
  <c r="J464" i="1"/>
  <c r="J476" i="1"/>
  <c r="I87" i="1"/>
  <c r="L225" i="1"/>
  <c r="J283" i="1"/>
  <c r="K420" i="3"/>
  <c r="K429" i="3"/>
  <c r="K481" i="3"/>
  <c r="K631" i="4"/>
  <c r="K634" i="4"/>
  <c r="L314" i="5"/>
  <c r="O314" i="5" s="1"/>
  <c r="K431" i="5"/>
  <c r="K455" i="5"/>
  <c r="N142" i="6"/>
  <c r="N140" i="6" s="1"/>
  <c r="K375" i="6"/>
  <c r="K416" i="6"/>
  <c r="P254" i="7"/>
  <c r="K88" i="8"/>
  <c r="K229" i="8"/>
  <c r="L333" i="8"/>
  <c r="O333" i="8" s="1"/>
  <c r="O380" i="8"/>
  <c r="K398" i="8"/>
  <c r="K630" i="9"/>
  <c r="O347" i="10"/>
  <c r="N292" i="11"/>
  <c r="N290" i="11" s="1"/>
  <c r="K176" i="16"/>
  <c r="N252" i="16"/>
  <c r="O597" i="16"/>
  <c r="K614" i="16"/>
  <c r="K81" i="17"/>
  <c r="K249" i="17"/>
  <c r="K264" i="17"/>
  <c r="K381" i="17"/>
  <c r="K419" i="17"/>
  <c r="K428" i="17"/>
  <c r="K474" i="17"/>
  <c r="K498" i="17"/>
  <c r="K564" i="18"/>
  <c r="K648" i="18"/>
  <c r="O380" i="20"/>
  <c r="O383" i="20"/>
  <c r="K418" i="20"/>
  <c r="O439" i="20"/>
  <c r="M96" i="5"/>
  <c r="M94" i="5" s="1"/>
  <c r="K376" i="15"/>
  <c r="O385" i="15"/>
  <c r="K397" i="15"/>
  <c r="K401" i="15"/>
  <c r="K420" i="21"/>
  <c r="O566" i="21"/>
  <c r="O599" i="21"/>
  <c r="K629" i="21"/>
  <c r="K648" i="21"/>
  <c r="J625" i="1"/>
  <c r="J489" i="1"/>
  <c r="J492" i="1"/>
  <c r="J547" i="1"/>
  <c r="P254" i="8"/>
  <c r="J328" i="1"/>
  <c r="K372" i="8"/>
  <c r="K402" i="8"/>
  <c r="K422" i="8"/>
  <c r="K435" i="8"/>
  <c r="K455" i="8"/>
  <c r="O457" i="8"/>
  <c r="K547" i="8"/>
  <c r="K573" i="8"/>
  <c r="K580" i="8"/>
  <c r="K109" i="10"/>
  <c r="K402" i="10"/>
  <c r="K431" i="10"/>
  <c r="K229" i="12"/>
  <c r="K416" i="16"/>
  <c r="K428" i="16"/>
  <c r="K80" i="19"/>
  <c r="K83" i="20"/>
  <c r="J237" i="1"/>
  <c r="J243" i="1"/>
  <c r="J249" i="1"/>
  <c r="J323" i="1"/>
  <c r="J372" i="1"/>
  <c r="N384" i="1"/>
  <c r="N389" i="1"/>
  <c r="J396" i="1"/>
  <c r="J400" i="1"/>
  <c r="J402" i="1"/>
  <c r="J416" i="1"/>
  <c r="J419" i="1"/>
  <c r="K422" i="2"/>
  <c r="J428" i="1"/>
  <c r="N441" i="1"/>
  <c r="J465" i="1"/>
  <c r="J468" i="1"/>
  <c r="J471" i="1"/>
  <c r="J474" i="1"/>
  <c r="J477" i="1"/>
  <c r="J480" i="1"/>
  <c r="J483" i="1"/>
  <c r="I498" i="1"/>
  <c r="J518" i="1"/>
  <c r="J521" i="1"/>
  <c r="J524" i="1"/>
  <c r="J530" i="1"/>
  <c r="J533" i="1"/>
  <c r="O535" i="2"/>
  <c r="N539" i="1"/>
  <c r="J546" i="1"/>
  <c r="J550" i="1"/>
  <c r="N552" i="1"/>
  <c r="J663" i="1"/>
  <c r="I110" i="1"/>
  <c r="K631" i="3"/>
  <c r="L333" i="5"/>
  <c r="O333" i="5" s="1"/>
  <c r="K84" i="10"/>
  <c r="J671" i="17"/>
  <c r="N122" i="1"/>
  <c r="J261" i="1"/>
  <c r="J269" i="1"/>
  <c r="J302" i="1"/>
  <c r="I401" i="1"/>
  <c r="L406" i="1"/>
  <c r="I417" i="1"/>
  <c r="I420" i="1"/>
  <c r="L435" i="1"/>
  <c r="L455" i="1"/>
  <c r="J495" i="1"/>
  <c r="J498" i="1"/>
  <c r="J504" i="1"/>
  <c r="J507" i="1"/>
  <c r="J510" i="1"/>
  <c r="J513" i="1"/>
  <c r="I367" i="9"/>
  <c r="K367" i="9" s="1"/>
  <c r="K201" i="10"/>
  <c r="O385" i="18"/>
  <c r="O406" i="18"/>
  <c r="M70" i="1"/>
  <c r="L99" i="1"/>
  <c r="J215" i="1"/>
  <c r="N403" i="1"/>
  <c r="N458" i="1"/>
  <c r="J469" i="1"/>
  <c r="J481" i="1"/>
  <c r="J516" i="1"/>
  <c r="J522" i="1"/>
  <c r="J525" i="1"/>
  <c r="J528" i="1"/>
  <c r="N536" i="1"/>
  <c r="N541" i="1"/>
  <c r="J551" i="1"/>
  <c r="N557" i="1"/>
  <c r="J561" i="1"/>
  <c r="J671" i="6"/>
  <c r="K564" i="17"/>
  <c r="O580" i="17"/>
  <c r="K597" i="17"/>
  <c r="K368" i="18"/>
  <c r="K431" i="19"/>
  <c r="K465" i="19"/>
  <c r="K474" i="19"/>
  <c r="K573" i="19"/>
  <c r="K341" i="20"/>
  <c r="I551" i="1"/>
  <c r="J77" i="1"/>
  <c r="J87" i="1"/>
  <c r="J107" i="1"/>
  <c r="J110" i="1"/>
  <c r="L124" i="1"/>
  <c r="J131" i="1"/>
  <c r="N96" i="4"/>
  <c r="N94" i="4" s="1"/>
  <c r="K65" i="10"/>
  <c r="O597" i="15"/>
  <c r="K615" i="15"/>
  <c r="K630" i="15"/>
  <c r="K133" i="20"/>
  <c r="K370" i="21"/>
  <c r="K397" i="21"/>
  <c r="J163" i="1"/>
  <c r="N224" i="1"/>
  <c r="J246" i="1"/>
  <c r="I267" i="1"/>
  <c r="J282" i="1"/>
  <c r="J304" i="1"/>
  <c r="J309" i="1"/>
  <c r="L337" i="1"/>
  <c r="N387" i="1"/>
  <c r="N436" i="1"/>
  <c r="J450" i="1"/>
  <c r="J473" i="1"/>
  <c r="J479" i="1"/>
  <c r="J482" i="1"/>
  <c r="N554" i="1"/>
  <c r="J632" i="1"/>
  <c r="I164" i="1"/>
  <c r="J181" i="1"/>
  <c r="J217" i="1"/>
  <c r="I270" i="1"/>
  <c r="J285" i="1"/>
  <c r="J488" i="1"/>
  <c r="J503" i="1"/>
  <c r="J509" i="1"/>
  <c r="J512" i="1"/>
  <c r="O435" i="4"/>
  <c r="I564" i="1"/>
  <c r="K397" i="5"/>
  <c r="O406" i="5"/>
  <c r="K420" i="5"/>
  <c r="K499" i="5"/>
  <c r="K648" i="5"/>
  <c r="K376" i="6"/>
  <c r="K591" i="6"/>
  <c r="K632" i="6"/>
  <c r="K158" i="7"/>
  <c r="K629" i="10"/>
  <c r="K108" i="11"/>
  <c r="N31" i="13"/>
  <c r="N29" i="13" s="1"/>
  <c r="K370" i="13"/>
  <c r="K397" i="13"/>
  <c r="K417" i="13"/>
  <c r="K423" i="13"/>
  <c r="O435" i="13"/>
  <c r="K481" i="13"/>
  <c r="K564" i="13"/>
  <c r="O566" i="13"/>
  <c r="K219" i="14"/>
  <c r="K270" i="19"/>
  <c r="K432" i="19"/>
  <c r="O435" i="19"/>
  <c r="K449" i="19"/>
  <c r="O455" i="19"/>
  <c r="K466" i="19"/>
  <c r="K481" i="19"/>
  <c r="O537" i="19"/>
  <c r="K597" i="19"/>
  <c r="K635" i="19"/>
  <c r="L57" i="21"/>
  <c r="O57" i="21" s="1"/>
  <c r="J174" i="1"/>
  <c r="J196" i="1"/>
  <c r="P294" i="10"/>
  <c r="P333" i="11"/>
  <c r="K593" i="11"/>
  <c r="L49" i="1"/>
  <c r="N57" i="1"/>
  <c r="J64" i="1"/>
  <c r="J83" i="1"/>
  <c r="J86" i="1"/>
  <c r="K199" i="15"/>
  <c r="J264" i="1"/>
  <c r="J267" i="1"/>
  <c r="J284" i="1"/>
  <c r="J289" i="1"/>
  <c r="J114" i="1"/>
  <c r="L334" i="1"/>
  <c r="I340" i="1"/>
  <c r="L349" i="1"/>
  <c r="L352" i="1"/>
  <c r="N355" i="1"/>
  <c r="J362" i="1"/>
  <c r="O455" i="17"/>
  <c r="J484" i="1"/>
  <c r="J487" i="1"/>
  <c r="J490" i="1"/>
  <c r="J496" i="1"/>
  <c r="J65" i="1"/>
  <c r="L258" i="1"/>
  <c r="O258" i="1" s="1"/>
  <c r="J366" i="1"/>
  <c r="I380" i="1"/>
  <c r="I83" i="1"/>
  <c r="L534" i="1"/>
  <c r="O534" i="1" s="1"/>
  <c r="I499" i="1"/>
  <c r="I547" i="1"/>
  <c r="I618" i="1"/>
  <c r="M120" i="5"/>
  <c r="P120" i="5" s="1"/>
  <c r="L333" i="6"/>
  <c r="O333" i="6" s="1"/>
  <c r="O439" i="9"/>
  <c r="K435" i="10"/>
  <c r="K481" i="14"/>
  <c r="K429" i="16"/>
  <c r="K158" i="18"/>
  <c r="K431" i="18"/>
  <c r="O352" i="20"/>
  <c r="N333" i="1"/>
  <c r="J349" i="1"/>
  <c r="L382" i="1"/>
  <c r="O382" i="1" s="1"/>
  <c r="L403" i="1"/>
  <c r="O403" i="1" s="1"/>
  <c r="J211" i="1"/>
  <c r="K229" i="2"/>
  <c r="N407" i="1"/>
  <c r="I430" i="1"/>
  <c r="I518" i="1"/>
  <c r="I521" i="1"/>
  <c r="I524" i="1"/>
  <c r="I530" i="1"/>
  <c r="O535" i="3"/>
  <c r="N538" i="1"/>
  <c r="J545" i="1"/>
  <c r="J549" i="1"/>
  <c r="N571" i="1"/>
  <c r="K589" i="3"/>
  <c r="J360" i="1"/>
  <c r="J375" i="1"/>
  <c r="J379" i="1"/>
  <c r="K416" i="4"/>
  <c r="K422" i="4"/>
  <c r="K425" i="4"/>
  <c r="K112" i="5"/>
  <c r="K626" i="5"/>
  <c r="O439" i="6"/>
  <c r="K450" i="6"/>
  <c r="K464" i="6"/>
  <c r="K617" i="6"/>
  <c r="K580" i="7"/>
  <c r="L333" i="11"/>
  <c r="O333" i="11" s="1"/>
  <c r="K340" i="11"/>
  <c r="K368" i="17"/>
  <c r="K634" i="21"/>
  <c r="K65" i="8"/>
  <c r="O457" i="9"/>
  <c r="K617" i="9"/>
  <c r="K86" i="10"/>
  <c r="L294" i="12"/>
  <c r="L292" i="12" s="1"/>
  <c r="K372" i="14"/>
  <c r="K396" i="14"/>
  <c r="K425" i="14"/>
  <c r="K435" i="14"/>
  <c r="K432" i="18"/>
  <c r="O435" i="18"/>
  <c r="L144" i="20"/>
  <c r="L142" i="20" s="1"/>
  <c r="L140" i="20" s="1"/>
  <c r="O347" i="20"/>
  <c r="K350" i="20"/>
  <c r="M254" i="1"/>
  <c r="I344" i="1"/>
  <c r="K344" i="1" s="1"/>
  <c r="J82" i="1"/>
  <c r="J93" i="1"/>
  <c r="J149" i="1"/>
  <c r="J158" i="1"/>
  <c r="J194" i="1"/>
  <c r="K372" i="2"/>
  <c r="J79" i="1"/>
  <c r="K109" i="3"/>
  <c r="M122" i="1"/>
  <c r="L145" i="1"/>
  <c r="K498" i="6"/>
  <c r="K612" i="13"/>
  <c r="L144" i="14"/>
  <c r="O144" i="14" s="1"/>
  <c r="K200" i="14"/>
  <c r="K631" i="17"/>
  <c r="L122" i="18"/>
  <c r="O122" i="18" s="1"/>
  <c r="K164" i="21"/>
  <c r="O582" i="3"/>
  <c r="N68" i="7"/>
  <c r="N66" i="7" s="1"/>
  <c r="N120" i="9"/>
  <c r="N118" i="9" s="1"/>
  <c r="N292" i="10"/>
  <c r="N290" i="10" s="1"/>
  <c r="N68" i="11"/>
  <c r="P68" i="11" s="1"/>
  <c r="N312" i="15"/>
  <c r="N310" i="15" s="1"/>
  <c r="K349" i="16"/>
  <c r="O380" i="18"/>
  <c r="I64" i="1"/>
  <c r="I201" i="1"/>
  <c r="I346" i="1"/>
  <c r="K346" i="1" s="1"/>
  <c r="I373" i="1"/>
  <c r="K373" i="1" s="1"/>
  <c r="I506" i="1"/>
  <c r="K506" i="1" s="1"/>
  <c r="I515" i="1"/>
  <c r="K515" i="1" s="1"/>
  <c r="L567" i="1"/>
  <c r="O567" i="1" s="1"/>
  <c r="I671" i="1"/>
  <c r="I516" i="1"/>
  <c r="I522" i="1"/>
  <c r="I525" i="1"/>
  <c r="I528" i="1"/>
  <c r="L533" i="1"/>
  <c r="K547" i="2"/>
  <c r="N556" i="1"/>
  <c r="I573" i="1"/>
  <c r="L582" i="1"/>
  <c r="N585" i="1"/>
  <c r="L601" i="1"/>
  <c r="I612" i="1"/>
  <c r="I615" i="1"/>
  <c r="I628" i="1"/>
  <c r="J646" i="1"/>
  <c r="J655" i="1"/>
  <c r="J661" i="1"/>
  <c r="L46" i="1"/>
  <c r="L57" i="3"/>
  <c r="O57" i="3" s="1"/>
  <c r="I80" i="1"/>
  <c r="J104" i="1"/>
  <c r="N148" i="1"/>
  <c r="J157" i="1"/>
  <c r="J171" i="1"/>
  <c r="I199" i="1"/>
  <c r="J202" i="1"/>
  <c r="J111" i="1"/>
  <c r="J115" i="1"/>
  <c r="J156" i="1"/>
  <c r="J175" i="1"/>
  <c r="J184" i="1"/>
  <c r="J188" i="1"/>
  <c r="J197" i="1"/>
  <c r="J201" i="1"/>
  <c r="J219" i="1"/>
  <c r="N228" i="1"/>
  <c r="N49" i="1"/>
  <c r="N98" i="1"/>
  <c r="J159" i="1"/>
  <c r="J164" i="1"/>
  <c r="J173" i="1"/>
  <c r="J186" i="1"/>
  <c r="J195" i="1"/>
  <c r="J200" i="1"/>
  <c r="J204" i="1"/>
  <c r="J213" i="1"/>
  <c r="J218" i="1"/>
  <c r="J301" i="1"/>
  <c r="J306" i="1"/>
  <c r="J322" i="1"/>
  <c r="N358" i="1"/>
  <c r="I375" i="1"/>
  <c r="I381" i="1"/>
  <c r="N388" i="1"/>
  <c r="I396" i="1"/>
  <c r="J399" i="1"/>
  <c r="I402" i="1"/>
  <c r="N409" i="1"/>
  <c r="I419" i="1"/>
  <c r="I422" i="1"/>
  <c r="I428" i="1"/>
  <c r="N440" i="1"/>
  <c r="J447" i="1"/>
  <c r="I455" i="1"/>
  <c r="N460" i="1"/>
  <c r="J634" i="1"/>
  <c r="J647" i="1"/>
  <c r="L294" i="3"/>
  <c r="O294" i="3" s="1"/>
  <c r="L224" i="4"/>
  <c r="O224" i="4" s="1"/>
  <c r="N252" i="4"/>
  <c r="N250" i="4" s="1"/>
  <c r="K481" i="4"/>
  <c r="K629" i="4"/>
  <c r="I632" i="1"/>
  <c r="J656" i="1"/>
  <c r="J595" i="1"/>
  <c r="J92" i="1"/>
  <c r="I349" i="1"/>
  <c r="N586" i="1"/>
  <c r="J615" i="1"/>
  <c r="J628" i="1"/>
  <c r="I186" i="1"/>
  <c r="M224" i="1"/>
  <c r="M333" i="1"/>
  <c r="I451" i="1"/>
  <c r="I477" i="1"/>
  <c r="K477" i="1" s="1"/>
  <c r="I509" i="1"/>
  <c r="K509" i="1" s="1"/>
  <c r="K133" i="2"/>
  <c r="N273" i="2"/>
  <c r="N271" i="2" s="1"/>
  <c r="O347" i="2"/>
  <c r="K81" i="3"/>
  <c r="K375" i="3"/>
  <c r="K424" i="4"/>
  <c r="K430" i="4"/>
  <c r="J622" i="1"/>
  <c r="J635" i="1"/>
  <c r="J611" i="1"/>
  <c r="I204" i="1"/>
  <c r="O382" i="2"/>
  <c r="J475" i="1"/>
  <c r="J577" i="1"/>
  <c r="J612" i="1"/>
  <c r="J624" i="1"/>
  <c r="J631" i="1"/>
  <c r="I213" i="1"/>
  <c r="L279" i="1"/>
  <c r="O279" i="1" s="1"/>
  <c r="I342" i="1"/>
  <c r="K342" i="1" s="1"/>
  <c r="I560" i="1"/>
  <c r="I576" i="1"/>
  <c r="K576" i="1" s="1"/>
  <c r="I133" i="1"/>
  <c r="I485" i="1"/>
  <c r="K485" i="1" s="1"/>
  <c r="I503" i="1"/>
  <c r="K503" i="1" s="1"/>
  <c r="I580" i="1"/>
  <c r="L98" i="2"/>
  <c r="K340" i="3"/>
  <c r="O349" i="3"/>
  <c r="L537" i="1"/>
  <c r="I111" i="1"/>
  <c r="K111" i="1" s="1"/>
  <c r="K149" i="6"/>
  <c r="K158" i="6"/>
  <c r="K249" i="6"/>
  <c r="K264" i="6"/>
  <c r="O354" i="6"/>
  <c r="K328" i="7"/>
  <c r="K473" i="7"/>
  <c r="N45" i="1"/>
  <c r="L58" i="1"/>
  <c r="I65" i="1"/>
  <c r="J129" i="1"/>
  <c r="J133" i="1"/>
  <c r="L146" i="1"/>
  <c r="J169" i="1"/>
  <c r="J187" i="1"/>
  <c r="I219" i="1"/>
  <c r="J233" i="1"/>
  <c r="N279" i="1"/>
  <c r="N294" i="1"/>
  <c r="J300" i="1"/>
  <c r="J367" i="1"/>
  <c r="J370" i="1"/>
  <c r="J376" i="1"/>
  <c r="J380" i="1"/>
  <c r="N31" i="9"/>
  <c r="N29" i="9" s="1"/>
  <c r="J397" i="1"/>
  <c r="J401" i="1"/>
  <c r="J413" i="1"/>
  <c r="J429" i="1"/>
  <c r="J432" i="1"/>
  <c r="N435" i="1"/>
  <c r="N33" i="9"/>
  <c r="N442" i="1"/>
  <c r="I449" i="1"/>
  <c r="I466" i="1"/>
  <c r="N314" i="1"/>
  <c r="J321" i="1"/>
  <c r="J326" i="1"/>
  <c r="N337" i="1"/>
  <c r="J344" i="1"/>
  <c r="J368" i="1"/>
  <c r="J374" i="1"/>
  <c r="N380" i="1"/>
  <c r="N383" i="1"/>
  <c r="J394" i="1"/>
  <c r="J398" i="1"/>
  <c r="N401" i="1"/>
  <c r="N404" i="1"/>
  <c r="N408" i="1"/>
  <c r="J415" i="1"/>
  <c r="J418" i="1"/>
  <c r="J424" i="1"/>
  <c r="J427" i="1"/>
  <c r="J430" i="1"/>
  <c r="N443" i="1"/>
  <c r="J449" i="1"/>
  <c r="J452" i="1"/>
  <c r="K473" i="11"/>
  <c r="P98" i="12"/>
  <c r="K629" i="12"/>
  <c r="K648" i="12"/>
  <c r="O459" i="14"/>
  <c r="K464" i="14"/>
  <c r="O535" i="14"/>
  <c r="P102" i="15"/>
  <c r="L294" i="15"/>
  <c r="O294" i="15" s="1"/>
  <c r="K464" i="15"/>
  <c r="K473" i="15"/>
  <c r="K482" i="15"/>
  <c r="L275" i="16"/>
  <c r="L273" i="16" s="1"/>
  <c r="K341" i="16"/>
  <c r="K482" i="16"/>
  <c r="O535" i="16"/>
  <c r="N43" i="17"/>
  <c r="N96" i="17"/>
  <c r="N94" i="17" s="1"/>
  <c r="K219" i="17"/>
  <c r="L254" i="17"/>
  <c r="L252" i="17" s="1"/>
  <c r="K482" i="17"/>
  <c r="K80" i="18"/>
  <c r="O533" i="18"/>
  <c r="K547" i="18"/>
  <c r="K593" i="18"/>
  <c r="O601" i="18"/>
  <c r="J671" i="18"/>
  <c r="L294" i="19"/>
  <c r="L292" i="19" s="1"/>
  <c r="P275" i="20"/>
  <c r="L294" i="20"/>
  <c r="O294" i="20" s="1"/>
  <c r="K573" i="20"/>
  <c r="K628" i="20"/>
  <c r="K138" i="21"/>
  <c r="K264" i="21"/>
  <c r="L314" i="21"/>
  <c r="O314" i="21" s="1"/>
  <c r="K328" i="21"/>
  <c r="K428" i="21"/>
  <c r="O457" i="21"/>
  <c r="O535" i="21"/>
  <c r="J238" i="1"/>
  <c r="J244" i="1"/>
  <c r="L256" i="1"/>
  <c r="J263" i="1"/>
  <c r="J281" i="1"/>
  <c r="J286" i="1"/>
  <c r="J340" i="1"/>
  <c r="J346" i="1"/>
  <c r="N349" i="1"/>
  <c r="N352" i="1"/>
  <c r="J363" i="1"/>
  <c r="L383" i="1"/>
  <c r="N386" i="1"/>
  <c r="L404" i="1"/>
  <c r="I421" i="1"/>
  <c r="I424" i="1"/>
  <c r="K424" i="1" s="1"/>
  <c r="J433" i="1"/>
  <c r="L439" i="1"/>
  <c r="J445" i="1"/>
  <c r="I450" i="1"/>
  <c r="J453" i="1"/>
  <c r="J505" i="1"/>
  <c r="J508" i="1"/>
  <c r="J511" i="1"/>
  <c r="J514" i="1"/>
  <c r="J520" i="1"/>
  <c r="J526" i="1"/>
  <c r="J532" i="1"/>
  <c r="N534" i="1"/>
  <c r="N537" i="1"/>
  <c r="J544" i="1"/>
  <c r="J548" i="1"/>
  <c r="N551" i="1"/>
  <c r="J564" i="1"/>
  <c r="N580" i="1"/>
  <c r="I619" i="1"/>
  <c r="I517" i="1"/>
  <c r="I520" i="1"/>
  <c r="I529" i="1"/>
  <c r="I532" i="1"/>
  <c r="J543" i="1"/>
  <c r="N558" i="1"/>
  <c r="L566" i="1"/>
  <c r="L580" i="1"/>
  <c r="L47" i="1"/>
  <c r="L71" i="1"/>
  <c r="J78" i="1"/>
  <c r="J132" i="1"/>
  <c r="J138" i="1"/>
  <c r="I149" i="1"/>
  <c r="J176" i="1"/>
  <c r="J199" i="1"/>
  <c r="J203" i="1"/>
  <c r="J212" i="1"/>
  <c r="J229" i="1"/>
  <c r="J245" i="1"/>
  <c r="I474" i="1"/>
  <c r="N555" i="1"/>
  <c r="N567" i="1"/>
  <c r="N572" i="1"/>
  <c r="I623" i="1"/>
  <c r="L254" i="8"/>
  <c r="K266" i="8"/>
  <c r="K423" i="8"/>
  <c r="K426" i="8"/>
  <c r="I626" i="1"/>
  <c r="K328" i="10"/>
  <c r="K375" i="10"/>
  <c r="O537" i="10"/>
  <c r="O566" i="10"/>
  <c r="O580" i="10"/>
  <c r="K418" i="12"/>
  <c r="K424" i="12"/>
  <c r="N120" i="14"/>
  <c r="N33" i="15"/>
  <c r="N13" i="15" s="1"/>
  <c r="N43" i="18"/>
  <c r="N41" i="18" s="1"/>
  <c r="K267" i="5"/>
  <c r="J454" i="1"/>
  <c r="J491" i="1"/>
  <c r="K340" i="6"/>
  <c r="O352" i="6"/>
  <c r="L224" i="7"/>
  <c r="O224" i="7" s="1"/>
  <c r="K425" i="7"/>
  <c r="O437" i="7"/>
  <c r="O568" i="7"/>
  <c r="K623" i="8"/>
  <c r="P45" i="11"/>
  <c r="K625" i="12"/>
  <c r="K219" i="13"/>
  <c r="J651" i="13"/>
  <c r="K200" i="16"/>
  <c r="K449" i="21"/>
  <c r="K499" i="21"/>
  <c r="K465" i="5"/>
  <c r="N96" i="6"/>
  <c r="N94" i="6" s="1"/>
  <c r="K267" i="8"/>
  <c r="O401" i="8"/>
  <c r="K430" i="8"/>
  <c r="K464" i="8"/>
  <c r="K473" i="8"/>
  <c r="K621" i="8"/>
  <c r="K84" i="9"/>
  <c r="K173" i="10"/>
  <c r="N34" i="11"/>
  <c r="K381" i="12"/>
  <c r="K422" i="12"/>
  <c r="K455" i="12"/>
  <c r="O457" i="12"/>
  <c r="K474" i="12"/>
  <c r="N331" i="14"/>
  <c r="K370" i="14"/>
  <c r="O568" i="14"/>
  <c r="K634" i="14"/>
  <c r="K417" i="15"/>
  <c r="K423" i="15"/>
  <c r="P122" i="16"/>
  <c r="O582" i="16"/>
  <c r="K345" i="17"/>
  <c r="K349" i="17"/>
  <c r="O354" i="17"/>
  <c r="L98" i="18"/>
  <c r="O98" i="18" s="1"/>
  <c r="N312" i="18"/>
  <c r="K350" i="18"/>
  <c r="K164" i="20"/>
  <c r="K573" i="5"/>
  <c r="K343" i="7"/>
  <c r="K80" i="8"/>
  <c r="K83" i="8"/>
  <c r="K173" i="8"/>
  <c r="K186" i="8"/>
  <c r="K350" i="8"/>
  <c r="N34" i="8"/>
  <c r="N14" i="8" s="1"/>
  <c r="K497" i="8"/>
  <c r="O584" i="8"/>
  <c r="O385" i="11"/>
  <c r="K401" i="11"/>
  <c r="K417" i="11"/>
  <c r="K432" i="11"/>
  <c r="O568" i="12"/>
  <c r="K634" i="12"/>
  <c r="J651" i="12"/>
  <c r="L57" i="13"/>
  <c r="L55" i="13" s="1"/>
  <c r="L53" i="13" s="1"/>
  <c r="P224" i="13"/>
  <c r="K229" i="13"/>
  <c r="K85" i="14"/>
  <c r="K235" i="14"/>
  <c r="L254" i="14"/>
  <c r="O254" i="14" s="1"/>
  <c r="K266" i="14"/>
  <c r="K466" i="15"/>
  <c r="O533" i="15"/>
  <c r="K229" i="16"/>
  <c r="K340" i="16"/>
  <c r="O349" i="16"/>
  <c r="K449" i="16"/>
  <c r="N331" i="17"/>
  <c r="N329" i="17" s="1"/>
  <c r="O49" i="18"/>
  <c r="P294" i="18"/>
  <c r="K328" i="18"/>
  <c r="K630" i="18"/>
  <c r="N142" i="19"/>
  <c r="N140" i="19" s="1"/>
  <c r="N120" i="20"/>
  <c r="N118" i="20" s="1"/>
  <c r="L314" i="20"/>
  <c r="O314" i="20" s="1"/>
  <c r="K235" i="21"/>
  <c r="K430" i="21"/>
  <c r="P98" i="4"/>
  <c r="M96" i="4"/>
  <c r="P96" i="4" s="1"/>
  <c r="I510" i="1"/>
  <c r="K510" i="1" s="1"/>
  <c r="N582" i="1"/>
  <c r="O582" i="1" s="1"/>
  <c r="J590" i="1"/>
  <c r="J596" i="1"/>
  <c r="N598" i="1"/>
  <c r="O601" i="2"/>
  <c r="J675" i="1"/>
  <c r="N570" i="1"/>
  <c r="N410" i="1"/>
  <c r="L648" i="1"/>
  <c r="J662" i="1"/>
  <c r="N665" i="1"/>
  <c r="J672" i="1"/>
  <c r="O438" i="13"/>
  <c r="L33" i="13"/>
  <c r="O33" i="13" s="1"/>
  <c r="K622" i="15"/>
  <c r="K624" i="15"/>
  <c r="K369" i="16"/>
  <c r="I367" i="16"/>
  <c r="K367" i="16" s="1"/>
  <c r="K619" i="16"/>
  <c r="K596" i="2"/>
  <c r="I596" i="1"/>
  <c r="K596" i="1" s="1"/>
  <c r="O598" i="2"/>
  <c r="L598" i="1"/>
  <c r="O598" i="1" s="1"/>
  <c r="I452" i="1"/>
  <c r="K452" i="1" s="1"/>
  <c r="I469" i="1"/>
  <c r="K469" i="1" s="1"/>
  <c r="I266" i="1"/>
  <c r="I306" i="1"/>
  <c r="I431" i="1"/>
  <c r="L436" i="1"/>
  <c r="O436" i="1" s="1"/>
  <c r="L458" i="1"/>
  <c r="O458" i="1" s="1"/>
  <c r="I478" i="1"/>
  <c r="K478" i="1" s="1"/>
  <c r="I483" i="1"/>
  <c r="K483" i="1" s="1"/>
  <c r="I487" i="1"/>
  <c r="K487" i="1" s="1"/>
  <c r="I495" i="1"/>
  <c r="K495" i="1" s="1"/>
  <c r="I504" i="1"/>
  <c r="K504" i="1" s="1"/>
  <c r="I511" i="1"/>
  <c r="K511" i="1" s="1"/>
  <c r="J371" i="1"/>
  <c r="J414" i="1"/>
  <c r="J649" i="1"/>
  <c r="I665" i="1"/>
  <c r="N649" i="1"/>
  <c r="I368" i="1"/>
  <c r="K368" i="1" s="1"/>
  <c r="I617" i="1"/>
  <c r="K622" i="7"/>
  <c r="K623" i="7"/>
  <c r="I265" i="1"/>
  <c r="I507" i="1"/>
  <c r="K507" i="1" s="1"/>
  <c r="I238" i="1"/>
  <c r="K238" i="1" s="1"/>
  <c r="M275" i="1"/>
  <c r="P275" i="1" s="1"/>
  <c r="L298" i="1"/>
  <c r="O298" i="1" s="1"/>
  <c r="I369" i="1"/>
  <c r="L384" i="1"/>
  <c r="O384" i="1" s="1"/>
  <c r="L405" i="1"/>
  <c r="O405" i="1" s="1"/>
  <c r="I470" i="1"/>
  <c r="K470" i="1" s="1"/>
  <c r="I491" i="1"/>
  <c r="K491" i="1" s="1"/>
  <c r="I508" i="1"/>
  <c r="K508" i="1" s="1"/>
  <c r="L536" i="1"/>
  <c r="O536" i="1" s="1"/>
  <c r="N601" i="1"/>
  <c r="L650" i="1"/>
  <c r="J155" i="1"/>
  <c r="O583" i="3"/>
  <c r="L583" i="1"/>
  <c r="O583" i="1" s="1"/>
  <c r="N587" i="1"/>
  <c r="I591" i="1"/>
  <c r="N602" i="1"/>
  <c r="J609" i="1"/>
  <c r="I622" i="1"/>
  <c r="I625" i="1"/>
  <c r="I629" i="1"/>
  <c r="I635" i="1"/>
  <c r="K589" i="4"/>
  <c r="I589" i="1"/>
  <c r="L597" i="1"/>
  <c r="N604" i="1"/>
  <c r="K617" i="4"/>
  <c r="I611" i="1"/>
  <c r="K611" i="1" s="1"/>
  <c r="I614" i="1"/>
  <c r="K625" i="4"/>
  <c r="K620" i="4"/>
  <c r="K149" i="8"/>
  <c r="K158" i="8"/>
  <c r="J666" i="1"/>
  <c r="I88" i="1"/>
  <c r="L456" i="1"/>
  <c r="O456" i="1" s="1"/>
  <c r="I490" i="1"/>
  <c r="K490" i="1" s="1"/>
  <c r="I494" i="1"/>
  <c r="K494" i="1" s="1"/>
  <c r="I86" i="1"/>
  <c r="I93" i="1"/>
  <c r="I112" i="1"/>
  <c r="L126" i="1"/>
  <c r="O126" i="1" s="1"/>
  <c r="L148" i="1"/>
  <c r="O148" i="1" s="1"/>
  <c r="I158" i="1"/>
  <c r="M74" i="1"/>
  <c r="I82" i="1"/>
  <c r="M314" i="1"/>
  <c r="N438" i="1"/>
  <c r="L459" i="1"/>
  <c r="I467" i="1"/>
  <c r="K467" i="1" s="1"/>
  <c r="I476" i="1"/>
  <c r="K476" i="1" s="1"/>
  <c r="I480" i="1"/>
  <c r="K480" i="1" s="1"/>
  <c r="I484" i="1"/>
  <c r="K484" i="1" s="1"/>
  <c r="I488" i="1"/>
  <c r="K488" i="1" s="1"/>
  <c r="I496" i="1"/>
  <c r="K496" i="1" s="1"/>
  <c r="I501" i="1"/>
  <c r="K501" i="1" s="1"/>
  <c r="I512" i="1"/>
  <c r="K512" i="1" s="1"/>
  <c r="L553" i="1"/>
  <c r="I561" i="1"/>
  <c r="K561" i="1" s="1"/>
  <c r="K396" i="4"/>
  <c r="P49" i="6"/>
  <c r="K164" i="10"/>
  <c r="L314" i="11"/>
  <c r="L312" i="11" s="1"/>
  <c r="K590" i="2"/>
  <c r="I590" i="1"/>
  <c r="K590" i="1" s="1"/>
  <c r="I108" i="1"/>
  <c r="I185" i="1"/>
  <c r="I309" i="1"/>
  <c r="I371" i="1"/>
  <c r="K371" i="1" s="1"/>
  <c r="I468" i="1"/>
  <c r="K468" i="1" s="1"/>
  <c r="I472" i="1"/>
  <c r="K472" i="1" s="1"/>
  <c r="I492" i="1"/>
  <c r="K492" i="1" s="1"/>
  <c r="I502" i="1"/>
  <c r="K502" i="1" s="1"/>
  <c r="L554" i="1"/>
  <c r="O554" i="1" s="1"/>
  <c r="I578" i="1"/>
  <c r="K578" i="1" s="1"/>
  <c r="P122" i="3"/>
  <c r="M120" i="3"/>
  <c r="P120" i="3" s="1"/>
  <c r="L315" i="1"/>
  <c r="L45" i="7"/>
  <c r="O45" i="7" s="1"/>
  <c r="I189" i="1"/>
  <c r="I235" i="1"/>
  <c r="N583" i="1"/>
  <c r="J677" i="1"/>
  <c r="L72" i="1"/>
  <c r="J88" i="1"/>
  <c r="J109" i="1"/>
  <c r="J128" i="1"/>
  <c r="J182" i="1"/>
  <c r="O349" i="9"/>
  <c r="O352" i="9"/>
  <c r="K370" i="9"/>
  <c r="K376" i="9"/>
  <c r="K401" i="9"/>
  <c r="K417" i="9"/>
  <c r="K432" i="9"/>
  <c r="J614" i="1"/>
  <c r="N648" i="1"/>
  <c r="J650" i="1"/>
  <c r="K421" i="10"/>
  <c r="K449" i="10"/>
  <c r="N457" i="1"/>
  <c r="J216" i="1"/>
  <c r="J236" i="1"/>
  <c r="N258" i="1"/>
  <c r="L276" i="1"/>
  <c r="L316" i="1"/>
  <c r="L31" i="12"/>
  <c r="L11" i="12" s="1"/>
  <c r="L9" i="12" s="1"/>
  <c r="J369" i="1"/>
  <c r="K611" i="16"/>
  <c r="K622" i="16"/>
  <c r="N459" i="1"/>
  <c r="N347" i="1"/>
  <c r="J378" i="1"/>
  <c r="L122" i="2"/>
  <c r="L120" i="2" s="1"/>
  <c r="L118" i="2" s="1"/>
  <c r="J268" i="1"/>
  <c r="K306" i="2"/>
  <c r="K402" i="2"/>
  <c r="K428" i="2"/>
  <c r="K635" i="2"/>
  <c r="J676" i="1"/>
  <c r="K421" i="3"/>
  <c r="O439" i="3"/>
  <c r="O459" i="3"/>
  <c r="J578" i="1"/>
  <c r="J591" i="1"/>
  <c r="N603" i="1"/>
  <c r="J619" i="1"/>
  <c r="K635" i="3"/>
  <c r="L651" i="1"/>
  <c r="N222" i="5"/>
  <c r="N220" i="5" s="1"/>
  <c r="J668" i="1"/>
  <c r="N68" i="6"/>
  <c r="N66" i="6" s="1"/>
  <c r="K381" i="6"/>
  <c r="K402" i="6"/>
  <c r="K482" i="6"/>
  <c r="K149" i="7"/>
  <c r="I200" i="1"/>
  <c r="J262" i="1"/>
  <c r="L277" i="1"/>
  <c r="K376" i="7"/>
  <c r="J417" i="1"/>
  <c r="K449" i="7"/>
  <c r="J617" i="1"/>
  <c r="K164" i="8"/>
  <c r="J341" i="1"/>
  <c r="N353" i="1"/>
  <c r="N644" i="8"/>
  <c r="N640" i="8" s="1"/>
  <c r="N638" i="8" s="1"/>
  <c r="N636" i="8" s="1"/>
  <c r="J80" i="1"/>
  <c r="J113" i="1"/>
  <c r="J134" i="1"/>
  <c r="J161" i="1"/>
  <c r="K341" i="9"/>
  <c r="K368" i="9"/>
  <c r="O380" i="9"/>
  <c r="K421" i="9"/>
  <c r="K424" i="9"/>
  <c r="K449" i="9"/>
  <c r="J493" i="1"/>
  <c r="L226" i="1"/>
  <c r="N331" i="10"/>
  <c r="N329" i="10" s="1"/>
  <c r="K349" i="10"/>
  <c r="K372" i="10"/>
  <c r="K422" i="10"/>
  <c r="L254" i="11"/>
  <c r="O254" i="11" s="1"/>
  <c r="M312" i="11"/>
  <c r="P312" i="11" s="1"/>
  <c r="K370" i="11"/>
  <c r="K420" i="11"/>
  <c r="O435" i="11"/>
  <c r="I593" i="1"/>
  <c r="J607" i="1"/>
  <c r="I621" i="1"/>
  <c r="J653" i="1"/>
  <c r="N31" i="15"/>
  <c r="N29" i="15" s="1"/>
  <c r="K176" i="18"/>
  <c r="K423" i="18"/>
  <c r="N31" i="18"/>
  <c r="N29" i="18" s="1"/>
  <c r="J135" i="1"/>
  <c r="J162" i="1"/>
  <c r="K219" i="2"/>
  <c r="J448" i="1"/>
  <c r="J529" i="1"/>
  <c r="J575" i="1"/>
  <c r="N588" i="1"/>
  <c r="J616" i="1"/>
  <c r="J629" i="1"/>
  <c r="K629" i="1" s="1"/>
  <c r="J648" i="1"/>
  <c r="I482" i="1"/>
  <c r="K343" i="4"/>
  <c r="K547" i="4"/>
  <c r="N74" i="1"/>
  <c r="P74" i="1" s="1"/>
  <c r="J90" i="1"/>
  <c r="L224" i="5"/>
  <c r="L222" i="5" s="1"/>
  <c r="O354" i="5"/>
  <c r="O533" i="5"/>
  <c r="K618" i="5"/>
  <c r="J576" i="1"/>
  <c r="N120" i="7"/>
  <c r="N118" i="7" s="1"/>
  <c r="L333" i="7"/>
  <c r="O333" i="7" s="1"/>
  <c r="K398" i="7"/>
  <c r="K564" i="7"/>
  <c r="N43" i="8"/>
  <c r="N41" i="8" s="1"/>
  <c r="L57" i="8"/>
  <c r="L55" i="8" s="1"/>
  <c r="K81" i="8"/>
  <c r="K624" i="8"/>
  <c r="K649" i="8"/>
  <c r="J671" i="8"/>
  <c r="K111" i="9"/>
  <c r="K189" i="9"/>
  <c r="K199" i="9"/>
  <c r="K464" i="9"/>
  <c r="K473" i="9"/>
  <c r="K635" i="9"/>
  <c r="N252" i="10"/>
  <c r="N250" i="10" s="1"/>
  <c r="M102" i="11"/>
  <c r="M96" i="11" s="1"/>
  <c r="M94" i="11" s="1"/>
  <c r="O102" i="11"/>
  <c r="M290" i="12"/>
  <c r="P290" i="12" s="1"/>
  <c r="I343" i="1"/>
  <c r="J373" i="1"/>
  <c r="O385" i="12"/>
  <c r="K397" i="12"/>
  <c r="K420" i="12"/>
  <c r="K573" i="12"/>
  <c r="L122" i="15"/>
  <c r="L120" i="15" s="1"/>
  <c r="O120" i="15" s="1"/>
  <c r="J320" i="1"/>
  <c r="N273" i="16"/>
  <c r="K132" i="2"/>
  <c r="K431" i="3"/>
  <c r="J659" i="1"/>
  <c r="J673" i="1"/>
  <c r="K564" i="4"/>
  <c r="J618" i="1"/>
  <c r="J669" i="1"/>
  <c r="P70" i="5"/>
  <c r="J658" i="1"/>
  <c r="K201" i="6"/>
  <c r="J183" i="1"/>
  <c r="J209" i="1"/>
  <c r="J266" i="1"/>
  <c r="J421" i="1"/>
  <c r="J434" i="1"/>
  <c r="L32" i="7"/>
  <c r="L30" i="7" s="1"/>
  <c r="N566" i="1"/>
  <c r="J593" i="1"/>
  <c r="N312" i="8"/>
  <c r="N310" i="8" s="1"/>
  <c r="J361" i="1"/>
  <c r="O582" i="8"/>
  <c r="N650" i="1"/>
  <c r="K665" i="8"/>
  <c r="N102" i="1"/>
  <c r="K158" i="9"/>
  <c r="J172" i="1"/>
  <c r="O354" i="9"/>
  <c r="K372" i="9"/>
  <c r="K381" i="9"/>
  <c r="K425" i="9"/>
  <c r="K428" i="9"/>
  <c r="O437" i="9"/>
  <c r="J497" i="1"/>
  <c r="N34" i="9"/>
  <c r="N14" i="9" s="1"/>
  <c r="K189" i="10"/>
  <c r="J234" i="1"/>
  <c r="L254" i="10"/>
  <c r="L252" i="10" s="1"/>
  <c r="O349" i="10"/>
  <c r="K455" i="10"/>
  <c r="K497" i="10"/>
  <c r="O564" i="10"/>
  <c r="K626" i="10"/>
  <c r="K620" i="10"/>
  <c r="I350" i="1"/>
  <c r="K533" i="11"/>
  <c r="J466" i="1"/>
  <c r="K265" i="17"/>
  <c r="N144" i="1"/>
  <c r="I173" i="1"/>
  <c r="J501" i="1"/>
  <c r="J592" i="1"/>
  <c r="N605" i="1"/>
  <c r="J620" i="1"/>
  <c r="J633" i="1"/>
  <c r="J652" i="1"/>
  <c r="K82" i="3"/>
  <c r="P144" i="3"/>
  <c r="K149" i="3"/>
  <c r="K498" i="3"/>
  <c r="K580" i="3"/>
  <c r="K341" i="4"/>
  <c r="K649" i="4"/>
  <c r="L59" i="1"/>
  <c r="J81" i="1"/>
  <c r="K108" i="5"/>
  <c r="L254" i="5"/>
  <c r="K340" i="5"/>
  <c r="J106" i="1"/>
  <c r="L123" i="1"/>
  <c r="P224" i="6"/>
  <c r="L314" i="6"/>
  <c r="O314" i="6" s="1"/>
  <c r="K432" i="6"/>
  <c r="K466" i="6"/>
  <c r="K593" i="6"/>
  <c r="K628" i="6"/>
  <c r="K649" i="6"/>
  <c r="K402" i="7"/>
  <c r="K431" i="7"/>
  <c r="O457" i="7"/>
  <c r="O564" i="7"/>
  <c r="O580" i="7"/>
  <c r="K591" i="7"/>
  <c r="L70" i="8"/>
  <c r="O70" i="8" s="1"/>
  <c r="O649" i="8"/>
  <c r="N34" i="10"/>
  <c r="N14" i="10" s="1"/>
  <c r="J560" i="1"/>
  <c r="K560" i="1" s="1"/>
  <c r="O597" i="11"/>
  <c r="K614" i="11"/>
  <c r="K84" i="12"/>
  <c r="J89" i="1"/>
  <c r="K264" i="14"/>
  <c r="N559" i="1"/>
  <c r="K629" i="15"/>
  <c r="K80" i="17"/>
  <c r="L102" i="1"/>
  <c r="K108" i="17"/>
  <c r="K173" i="19"/>
  <c r="K200" i="19"/>
  <c r="J657" i="1"/>
  <c r="P144" i="21"/>
  <c r="K474" i="21"/>
  <c r="J210" i="1"/>
  <c r="J270" i="1"/>
  <c r="K270" i="1" s="1"/>
  <c r="L347" i="1"/>
  <c r="O347" i="1" s="1"/>
  <c r="J364" i="1"/>
  <c r="J377" i="1"/>
  <c r="I597" i="1"/>
  <c r="K591" i="13"/>
  <c r="I81" i="1"/>
  <c r="O347" i="14"/>
  <c r="K589" i="14"/>
  <c r="I328" i="1"/>
  <c r="K426" i="15"/>
  <c r="K429" i="15"/>
  <c r="O584" i="15"/>
  <c r="N668" i="1"/>
  <c r="K189" i="16"/>
  <c r="J422" i="1"/>
  <c r="K499" i="16"/>
  <c r="J580" i="1"/>
  <c r="N644" i="16"/>
  <c r="N640" i="16" s="1"/>
  <c r="N638" i="16" s="1"/>
  <c r="N636" i="16" s="1"/>
  <c r="I109" i="1"/>
  <c r="N126" i="1"/>
  <c r="K132" i="17"/>
  <c r="K635" i="17"/>
  <c r="N463" i="1"/>
  <c r="J339" i="1"/>
  <c r="N351" i="1"/>
  <c r="O354" i="21"/>
  <c r="O601" i="10"/>
  <c r="K173" i="11"/>
  <c r="K200" i="11"/>
  <c r="O380" i="11"/>
  <c r="K427" i="11"/>
  <c r="K430" i="11"/>
  <c r="K547" i="11"/>
  <c r="O601" i="11"/>
  <c r="K85" i="12"/>
  <c r="K328" i="12"/>
  <c r="K375" i="12"/>
  <c r="K176" i="13"/>
  <c r="K185" i="13"/>
  <c r="M310" i="13"/>
  <c r="P310" i="13" s="1"/>
  <c r="O401" i="13"/>
  <c r="O404" i="13"/>
  <c r="K450" i="13"/>
  <c r="K464" i="13"/>
  <c r="K473" i="13"/>
  <c r="O564" i="13"/>
  <c r="K589" i="13"/>
  <c r="O597" i="13"/>
  <c r="K619" i="13"/>
  <c r="P333" i="14"/>
  <c r="K345" i="14"/>
  <c r="K547" i="14"/>
  <c r="K204" i="15"/>
  <c r="O568" i="15"/>
  <c r="N68" i="16"/>
  <c r="N66" i="16" s="1"/>
  <c r="N96" i="16"/>
  <c r="N94" i="16" s="1"/>
  <c r="K164" i="16"/>
  <c r="L224" i="16"/>
  <c r="L222" i="16" s="1"/>
  <c r="L220" i="16" s="1"/>
  <c r="K420" i="16"/>
  <c r="O435" i="16"/>
  <c r="O537" i="16"/>
  <c r="K84" i="17"/>
  <c r="K92" i="17"/>
  <c r="K149" i="17"/>
  <c r="K158" i="17"/>
  <c r="K420" i="17"/>
  <c r="K449" i="17"/>
  <c r="K533" i="17"/>
  <c r="O584" i="17"/>
  <c r="J651" i="17"/>
  <c r="K651" i="17" s="1"/>
  <c r="K186" i="18"/>
  <c r="O354" i="18"/>
  <c r="K372" i="18"/>
  <c r="O439" i="18"/>
  <c r="K464" i="18"/>
  <c r="O566" i="18"/>
  <c r="N34" i="19"/>
  <c r="N14" i="19" s="1"/>
  <c r="J671" i="19"/>
  <c r="N273" i="20"/>
  <c r="P273" i="20" s="1"/>
  <c r="K375" i="20"/>
  <c r="K416" i="20"/>
  <c r="K431" i="20"/>
  <c r="K497" i="20"/>
  <c r="N68" i="21"/>
  <c r="N66" i="21" s="1"/>
  <c r="L144" i="21"/>
  <c r="L142" i="21" s="1"/>
  <c r="K340" i="21"/>
  <c r="O349" i="21"/>
  <c r="K591" i="21"/>
  <c r="N461" i="1"/>
  <c r="N553" i="1"/>
  <c r="O553" i="1" s="1"/>
  <c r="J671" i="15"/>
  <c r="J426" i="1"/>
  <c r="I113" i="1"/>
  <c r="J467" i="1"/>
  <c r="L333" i="19"/>
  <c r="O333" i="19" s="1"/>
  <c r="O352" i="19"/>
  <c r="K380" i="19"/>
  <c r="J108" i="1"/>
  <c r="J325" i="1"/>
  <c r="J343" i="1"/>
  <c r="N356" i="1"/>
  <c r="K497" i="21"/>
  <c r="O580" i="21"/>
  <c r="K631" i="10"/>
  <c r="K634" i="10"/>
  <c r="K381" i="11"/>
  <c r="K396" i="11"/>
  <c r="K431" i="11"/>
  <c r="O459" i="11"/>
  <c r="K591" i="11"/>
  <c r="O599" i="11"/>
  <c r="K635" i="11"/>
  <c r="N43" i="12"/>
  <c r="N41" i="12" s="1"/>
  <c r="K149" i="12"/>
  <c r="K164" i="12"/>
  <c r="K380" i="12"/>
  <c r="K396" i="12"/>
  <c r="K425" i="12"/>
  <c r="K173" i="13"/>
  <c r="O457" i="13"/>
  <c r="K474" i="13"/>
  <c r="O568" i="13"/>
  <c r="K580" i="13"/>
  <c r="K591" i="14"/>
  <c r="J671" i="14"/>
  <c r="P98" i="15"/>
  <c r="K345" i="15"/>
  <c r="K431" i="15"/>
  <c r="O599" i="15"/>
  <c r="P70" i="16"/>
  <c r="L314" i="16"/>
  <c r="O404" i="16"/>
  <c r="K377" i="17"/>
  <c r="K418" i="17"/>
  <c r="K430" i="17"/>
  <c r="O533" i="17"/>
  <c r="K580" i="17"/>
  <c r="O582" i="17"/>
  <c r="K593" i="17"/>
  <c r="L57" i="18"/>
  <c r="L55" i="18" s="1"/>
  <c r="K65" i="18"/>
  <c r="N96" i="18"/>
  <c r="N94" i="18" s="1"/>
  <c r="K340" i="18"/>
  <c r="K376" i="18"/>
  <c r="K435" i="18"/>
  <c r="K64" i="19"/>
  <c r="L275" i="19"/>
  <c r="L273" i="19" s="1"/>
  <c r="O383" i="19"/>
  <c r="O439" i="19"/>
  <c r="O459" i="19"/>
  <c r="K473" i="19"/>
  <c r="O535" i="19"/>
  <c r="K629" i="19"/>
  <c r="L98" i="20"/>
  <c r="L96" i="20" s="1"/>
  <c r="O96" i="20" s="1"/>
  <c r="K173" i="20"/>
  <c r="O349" i="20"/>
  <c r="K376" i="20"/>
  <c r="K423" i="20"/>
  <c r="O435" i="20"/>
  <c r="O597" i="20"/>
  <c r="K663" i="20"/>
  <c r="L70" i="21"/>
  <c r="O70" i="21" s="1"/>
  <c r="K93" i="21"/>
  <c r="K109" i="21"/>
  <c r="K112" i="21"/>
  <c r="L122" i="21"/>
  <c r="O122" i="21" s="1"/>
  <c r="K189" i="21"/>
  <c r="K199" i="21"/>
  <c r="K216" i="21"/>
  <c r="P224" i="21"/>
  <c r="K560" i="21"/>
  <c r="K649" i="19"/>
  <c r="I649" i="1"/>
  <c r="K649" i="1" s="1"/>
  <c r="L255" i="1"/>
  <c r="I264" i="1"/>
  <c r="I304" i="1"/>
  <c r="I376" i="1"/>
  <c r="L385" i="1"/>
  <c r="I471" i="1"/>
  <c r="K471" i="1" s="1"/>
  <c r="L535" i="1"/>
  <c r="I630" i="1"/>
  <c r="O665" i="4"/>
  <c r="L665" i="1"/>
  <c r="O534" i="6"/>
  <c r="L31" i="6"/>
  <c r="L29" i="6" s="1"/>
  <c r="O29" i="6" s="1"/>
  <c r="O671" i="8"/>
  <c r="L671" i="1"/>
  <c r="I215" i="1"/>
  <c r="K215" i="1" s="1"/>
  <c r="L351" i="1"/>
  <c r="O351" i="1" s="1"/>
  <c r="I372" i="1"/>
  <c r="J381" i="1"/>
  <c r="J425" i="1"/>
  <c r="I668" i="1"/>
  <c r="K668" i="1" s="1"/>
  <c r="K663" i="8"/>
  <c r="I663" i="1"/>
  <c r="N671" i="1"/>
  <c r="L61" i="1"/>
  <c r="O61" i="1" s="1"/>
  <c r="L74" i="1"/>
  <c r="J84" i="1"/>
  <c r="I324" i="1"/>
  <c r="N455" i="1"/>
  <c r="I634" i="1"/>
  <c r="O384" i="7"/>
  <c r="L33" i="7"/>
  <c r="O33" i="7" s="1"/>
  <c r="I85" i="1"/>
  <c r="I216" i="1"/>
  <c r="I244" i="1"/>
  <c r="K244" i="1" s="1"/>
  <c r="N437" i="1"/>
  <c r="I92" i="1"/>
  <c r="M144" i="1"/>
  <c r="P144" i="1" s="1"/>
  <c r="L228" i="1"/>
  <c r="O228" i="1" s="1"/>
  <c r="I339" i="1"/>
  <c r="K339" i="1" s="1"/>
  <c r="L661" i="1"/>
  <c r="P314" i="2"/>
  <c r="N312" i="2"/>
  <c r="N310" i="2" s="1"/>
  <c r="N33" i="6"/>
  <c r="N13" i="6" s="1"/>
  <c r="I117" i="1"/>
  <c r="I479" i="1"/>
  <c r="K479" i="1" s="1"/>
  <c r="I493" i="1"/>
  <c r="K493" i="1" s="1"/>
  <c r="L600" i="1"/>
  <c r="O600" i="1" s="1"/>
  <c r="I650" i="1"/>
  <c r="P102" i="5"/>
  <c r="N651" i="1"/>
  <c r="O651" i="1" s="1"/>
  <c r="J660" i="1"/>
  <c r="L26" i="7"/>
  <c r="L16" i="7" s="1"/>
  <c r="N70" i="1"/>
  <c r="M98" i="1"/>
  <c r="I132" i="1"/>
  <c r="I370" i="1"/>
  <c r="I475" i="1"/>
  <c r="K475" i="1" s="1"/>
  <c r="J674" i="1"/>
  <c r="J665" i="1"/>
  <c r="N120" i="2"/>
  <c r="P120" i="2" s="1"/>
  <c r="L144" i="2"/>
  <c r="O144" i="2" s="1"/>
  <c r="K267" i="2"/>
  <c r="J303" i="1"/>
  <c r="L314" i="2"/>
  <c r="O314" i="2" s="1"/>
  <c r="N331" i="2"/>
  <c r="N329" i="2" s="1"/>
  <c r="J342" i="1"/>
  <c r="O354" i="2"/>
  <c r="O455" i="2"/>
  <c r="K580" i="2"/>
  <c r="K634" i="2"/>
  <c r="O665" i="2"/>
  <c r="K328" i="3"/>
  <c r="O383" i="3"/>
  <c r="K397" i="3"/>
  <c r="O401" i="3"/>
  <c r="K629" i="3"/>
  <c r="K633" i="3"/>
  <c r="L314" i="4"/>
  <c r="O314" i="4" s="1"/>
  <c r="K402" i="5"/>
  <c r="K589" i="8"/>
  <c r="K349" i="9"/>
  <c r="L122" i="10"/>
  <c r="O122" i="10" s="1"/>
  <c r="O403" i="13"/>
  <c r="L31" i="13"/>
  <c r="O31" i="13" s="1"/>
  <c r="N600" i="1"/>
  <c r="J613" i="1"/>
  <c r="J621" i="1"/>
  <c r="K423" i="5"/>
  <c r="K427" i="5"/>
  <c r="N32" i="6"/>
  <c r="N30" i="6" s="1"/>
  <c r="K111" i="7"/>
  <c r="L224" i="8"/>
  <c r="O224" i="8" s="1"/>
  <c r="O74" i="9"/>
  <c r="K375" i="9"/>
  <c r="K397" i="9"/>
  <c r="O401" i="9"/>
  <c r="K533" i="9"/>
  <c r="O349" i="19"/>
  <c r="K249" i="2"/>
  <c r="L296" i="1"/>
  <c r="K419" i="2"/>
  <c r="K427" i="2"/>
  <c r="K466" i="2"/>
  <c r="J519" i="1"/>
  <c r="J523" i="1"/>
  <c r="J527" i="1"/>
  <c r="J531" i="1"/>
  <c r="O566" i="2"/>
  <c r="I594" i="1"/>
  <c r="K594" i="1" s="1"/>
  <c r="J671" i="2"/>
  <c r="K219" i="3"/>
  <c r="L224" i="3"/>
  <c r="O224" i="3" s="1"/>
  <c r="K473" i="3"/>
  <c r="O537" i="3"/>
  <c r="O665" i="3"/>
  <c r="L275" i="4"/>
  <c r="O275" i="4" s="1"/>
  <c r="L32" i="4"/>
  <c r="L30" i="4" s="1"/>
  <c r="K432" i="4"/>
  <c r="O457" i="4"/>
  <c r="K626" i="4"/>
  <c r="L252" i="5"/>
  <c r="L250" i="5" s="1"/>
  <c r="M273" i="5"/>
  <c r="M271" i="5" s="1"/>
  <c r="P271" i="5" s="1"/>
  <c r="K613" i="5"/>
  <c r="O535" i="6"/>
  <c r="O580" i="6"/>
  <c r="K450" i="7"/>
  <c r="K614" i="7"/>
  <c r="L24" i="8"/>
  <c r="O24" i="8" s="1"/>
  <c r="O580" i="8"/>
  <c r="O651" i="8"/>
  <c r="L294" i="9"/>
  <c r="O294" i="9" s="1"/>
  <c r="N222" i="2"/>
  <c r="N220" i="2" s="1"/>
  <c r="L254" i="2"/>
  <c r="L252" i="2" s="1"/>
  <c r="L250" i="2" s="1"/>
  <c r="K264" i="2"/>
  <c r="J470" i="1"/>
  <c r="K474" i="2"/>
  <c r="K482" i="2"/>
  <c r="L552" i="1"/>
  <c r="O552" i="1" s="1"/>
  <c r="J610" i="1"/>
  <c r="K350" i="3"/>
  <c r="K368" i="3"/>
  <c r="O455" i="3"/>
  <c r="K547" i="3"/>
  <c r="L45" i="4"/>
  <c r="L43" i="4" s="1"/>
  <c r="N55" i="4"/>
  <c r="N53" i="4" s="1"/>
  <c r="N222" i="4"/>
  <c r="N220" i="4" s="1"/>
  <c r="K623" i="4"/>
  <c r="N43" i="5"/>
  <c r="N41" i="5" s="1"/>
  <c r="K64" i="5"/>
  <c r="N68" i="5"/>
  <c r="N66" i="5" s="1"/>
  <c r="O347" i="5"/>
  <c r="K396" i="5"/>
  <c r="K401" i="5"/>
  <c r="K474" i="5"/>
  <c r="L45" i="6"/>
  <c r="L43" i="6" s="1"/>
  <c r="N55" i="6"/>
  <c r="N53" i="6" s="1"/>
  <c r="L254" i="6"/>
  <c r="O254" i="6" s="1"/>
  <c r="K309" i="6"/>
  <c r="O349" i="6"/>
  <c r="K380" i="6"/>
  <c r="K401" i="6"/>
  <c r="K474" i="6"/>
  <c r="K631" i="6"/>
  <c r="K176" i="7"/>
  <c r="K186" i="7"/>
  <c r="O352" i="7"/>
  <c r="K465" i="7"/>
  <c r="K595" i="7"/>
  <c r="L33" i="8"/>
  <c r="O33" i="8" s="1"/>
  <c r="O49" i="8"/>
  <c r="K265" i="8"/>
  <c r="L275" i="8"/>
  <c r="O275" i="8" s="1"/>
  <c r="K285" i="8"/>
  <c r="K328" i="8"/>
  <c r="K465" i="8"/>
  <c r="K82" i="9"/>
  <c r="K402" i="9"/>
  <c r="K419" i="9"/>
  <c r="K427" i="9"/>
  <c r="K431" i="9"/>
  <c r="O435" i="9"/>
  <c r="K481" i="9"/>
  <c r="O533" i="9"/>
  <c r="O599" i="9"/>
  <c r="K611" i="9"/>
  <c r="N644" i="9"/>
  <c r="N640" i="9" s="1"/>
  <c r="N638" i="9" s="1"/>
  <c r="N636" i="9" s="1"/>
  <c r="K158" i="10"/>
  <c r="N357" i="1"/>
  <c r="J365" i="1"/>
  <c r="J393" i="1"/>
  <c r="J478" i="1"/>
  <c r="L581" i="1"/>
  <c r="O581" i="1" s="1"/>
  <c r="K199" i="3"/>
  <c r="K455" i="4"/>
  <c r="N312" i="5"/>
  <c r="N310" i="5" s="1"/>
  <c r="O564" i="6"/>
  <c r="O568" i="6"/>
  <c r="J651" i="6"/>
  <c r="K113" i="7"/>
  <c r="N252" i="7"/>
  <c r="N250" i="7" s="1"/>
  <c r="N273" i="7"/>
  <c r="N271" i="7" s="1"/>
  <c r="K401" i="7"/>
  <c r="K416" i="7"/>
  <c r="K428" i="7"/>
  <c r="O352" i="8"/>
  <c r="K424" i="8"/>
  <c r="O564" i="8"/>
  <c r="K650" i="8"/>
  <c r="K65" i="9"/>
  <c r="L275" i="9"/>
  <c r="O275" i="9" s="1"/>
  <c r="L24" i="14"/>
  <c r="O24" i="14" s="1"/>
  <c r="L275" i="2"/>
  <c r="O275" i="2" s="1"/>
  <c r="I374" i="1"/>
  <c r="K420" i="2"/>
  <c r="J486" i="1"/>
  <c r="K498" i="2"/>
  <c r="N96" i="3"/>
  <c r="N94" i="3" s="1"/>
  <c r="K173" i="3"/>
  <c r="L314" i="3"/>
  <c r="O314" i="3" s="1"/>
  <c r="O650" i="3"/>
  <c r="J651" i="3"/>
  <c r="K651" i="3" s="1"/>
  <c r="L45" i="5"/>
  <c r="O45" i="5" s="1"/>
  <c r="N55" i="5"/>
  <c r="N53" i="5" s="1"/>
  <c r="K84" i="5"/>
  <c r="K164" i="5"/>
  <c r="K635" i="5"/>
  <c r="N331" i="6"/>
  <c r="N329" i="6" s="1"/>
  <c r="K425" i="6"/>
  <c r="N96" i="7"/>
  <c r="N94" i="7" s="1"/>
  <c r="N32" i="8"/>
  <c r="N30" i="8" s="1"/>
  <c r="K616" i="9"/>
  <c r="J651" i="9"/>
  <c r="L45" i="2"/>
  <c r="L43" i="2" s="1"/>
  <c r="L41" i="2" s="1"/>
  <c r="P224" i="2"/>
  <c r="J260" i="1"/>
  <c r="J308" i="1"/>
  <c r="K464" i="2"/>
  <c r="J494" i="1"/>
  <c r="J502" i="1"/>
  <c r="O582" i="2"/>
  <c r="I616" i="1"/>
  <c r="I624" i="1"/>
  <c r="K629" i="2"/>
  <c r="J651" i="2"/>
  <c r="K164" i="3"/>
  <c r="K416" i="3"/>
  <c r="K449" i="3"/>
  <c r="K595" i="3"/>
  <c r="L122" i="4"/>
  <c r="L120" i="4" s="1"/>
  <c r="K189" i="4"/>
  <c r="K235" i="4"/>
  <c r="L57" i="5"/>
  <c r="L55" i="5" s="1"/>
  <c r="K81" i="5"/>
  <c r="K328" i="5"/>
  <c r="K345" i="5"/>
  <c r="K229" i="6"/>
  <c r="N252" i="6"/>
  <c r="P252" i="6" s="1"/>
  <c r="N273" i="6"/>
  <c r="N271" i="6" s="1"/>
  <c r="K306" i="6"/>
  <c r="K343" i="6"/>
  <c r="O347" i="6"/>
  <c r="P45" i="7"/>
  <c r="K110" i="7"/>
  <c r="N142" i="7"/>
  <c r="N140" i="7" s="1"/>
  <c r="K345" i="7"/>
  <c r="O349" i="7"/>
  <c r="O401" i="7"/>
  <c r="K417" i="7"/>
  <c r="K474" i="7"/>
  <c r="K482" i="7"/>
  <c r="K593" i="7"/>
  <c r="K597" i="7"/>
  <c r="K620" i="7"/>
  <c r="K629" i="7"/>
  <c r="K219" i="8"/>
  <c r="K345" i="8"/>
  <c r="K380" i="8"/>
  <c r="O383" i="8"/>
  <c r="O650" i="8"/>
  <c r="K219" i="9"/>
  <c r="K340" i="9"/>
  <c r="K497" i="9"/>
  <c r="K634" i="9"/>
  <c r="K93" i="10"/>
  <c r="N120" i="10"/>
  <c r="N118" i="10" s="1"/>
  <c r="K580" i="16"/>
  <c r="O459" i="17"/>
  <c r="K200" i="10"/>
  <c r="K235" i="10"/>
  <c r="K416" i="10"/>
  <c r="K424" i="10"/>
  <c r="O435" i="10"/>
  <c r="L45" i="11"/>
  <c r="O45" i="11" s="1"/>
  <c r="L57" i="11"/>
  <c r="L55" i="11" s="1"/>
  <c r="L53" i="11" s="1"/>
  <c r="O53" i="11" s="1"/>
  <c r="P70" i="11"/>
  <c r="L98" i="11"/>
  <c r="L96" i="11" s="1"/>
  <c r="L94" i="11" s="1"/>
  <c r="K368" i="11"/>
  <c r="K398" i="11"/>
  <c r="K573" i="11"/>
  <c r="K158" i="12"/>
  <c r="O566" i="12"/>
  <c r="K593" i="12"/>
  <c r="M55" i="13"/>
  <c r="M53" i="13" s="1"/>
  <c r="K111" i="13"/>
  <c r="O347" i="13"/>
  <c r="K381" i="13"/>
  <c r="K428" i="13"/>
  <c r="O584" i="13"/>
  <c r="K635" i="13"/>
  <c r="M292" i="14"/>
  <c r="P292" i="14" s="1"/>
  <c r="K482" i="14"/>
  <c r="K92" i="15"/>
  <c r="K266" i="15"/>
  <c r="O354" i="15"/>
  <c r="O564" i="15"/>
  <c r="K621" i="15"/>
  <c r="L122" i="16"/>
  <c r="O122" i="16" s="1"/>
  <c r="K158" i="16"/>
  <c r="K185" i="16"/>
  <c r="K372" i="16"/>
  <c r="O406" i="16"/>
  <c r="K427" i="16"/>
  <c r="K435" i="16"/>
  <c r="K109" i="17"/>
  <c r="K113" i="17"/>
  <c r="K431" i="17"/>
  <c r="O435" i="17"/>
  <c r="K499" i="17"/>
  <c r="O649" i="18"/>
  <c r="L45" i="19"/>
  <c r="L43" i="19" s="1"/>
  <c r="K235" i="19"/>
  <c r="O599" i="19"/>
  <c r="K630" i="20"/>
  <c r="K349" i="21"/>
  <c r="K432" i="21"/>
  <c r="M252" i="11"/>
  <c r="P252" i="11" s="1"/>
  <c r="K465" i="11"/>
  <c r="K498" i="11"/>
  <c r="P333" i="12"/>
  <c r="K340" i="12"/>
  <c r="K349" i="12"/>
  <c r="L640" i="12"/>
  <c r="L638" i="12" s="1"/>
  <c r="L636" i="12" s="1"/>
  <c r="P45" i="14"/>
  <c r="K328" i="14"/>
  <c r="L333" i="14"/>
  <c r="L331" i="14" s="1"/>
  <c r="N32" i="14"/>
  <c r="N30" i="14" s="1"/>
  <c r="K186" i="16"/>
  <c r="K589" i="16"/>
  <c r="K593" i="16"/>
  <c r="O49" i="17"/>
  <c r="L70" i="17"/>
  <c r="O70" i="17" s="1"/>
  <c r="N292" i="17"/>
  <c r="N290" i="17" s="1"/>
  <c r="K381" i="18"/>
  <c r="K402" i="18"/>
  <c r="K499" i="18"/>
  <c r="P45" i="20"/>
  <c r="K82" i="20"/>
  <c r="K219" i="20"/>
  <c r="O455" i="20"/>
  <c r="K631" i="20"/>
  <c r="O671" i="20"/>
  <c r="N273" i="21"/>
  <c r="N271" i="21" s="1"/>
  <c r="O455" i="10"/>
  <c r="K419" i="11"/>
  <c r="O582" i="11"/>
  <c r="K417" i="12"/>
  <c r="O49" i="13"/>
  <c r="K328" i="13"/>
  <c r="K615" i="13"/>
  <c r="K632" i="13"/>
  <c r="O601" i="14"/>
  <c r="P70" i="15"/>
  <c r="K213" i="15"/>
  <c r="K219" i="15"/>
  <c r="O457" i="15"/>
  <c r="K474" i="15"/>
  <c r="O459" i="16"/>
  <c r="K186" i="17"/>
  <c r="M292" i="17"/>
  <c r="P292" i="17" s="1"/>
  <c r="K416" i="17"/>
  <c r="K432" i="17"/>
  <c r="O566" i="17"/>
  <c r="O551" i="18"/>
  <c r="P57" i="19"/>
  <c r="P70" i="19"/>
  <c r="N120" i="19"/>
  <c r="N118" i="19" s="1"/>
  <c r="L144" i="19"/>
  <c r="L142" i="19" s="1"/>
  <c r="K229" i="19"/>
  <c r="K377" i="19"/>
  <c r="J651" i="19"/>
  <c r="O401" i="21"/>
  <c r="K229" i="10"/>
  <c r="P314" i="10"/>
  <c r="N312" i="11"/>
  <c r="N310" i="11" s="1"/>
  <c r="N331" i="11"/>
  <c r="N329" i="11" s="1"/>
  <c r="K466" i="11"/>
  <c r="K81" i="12"/>
  <c r="K450" i="12"/>
  <c r="K464" i="12"/>
  <c r="K498" i="12"/>
  <c r="P254" i="13"/>
  <c r="K629" i="13"/>
  <c r="P70" i="14"/>
  <c r="N292" i="14"/>
  <c r="N290" i="14" s="1"/>
  <c r="O349" i="14"/>
  <c r="K422" i="14"/>
  <c r="N68" i="15"/>
  <c r="N66" i="15" s="1"/>
  <c r="O566" i="15"/>
  <c r="K199" i="16"/>
  <c r="K328" i="16"/>
  <c r="O533" i="16"/>
  <c r="N312" i="17"/>
  <c r="N310" i="17" s="1"/>
  <c r="N292" i="18"/>
  <c r="N290" i="18" s="1"/>
  <c r="O459" i="18"/>
  <c r="O580" i="18"/>
  <c r="P144" i="20"/>
  <c r="K189" i="20"/>
  <c r="K200" i="20"/>
  <c r="K372" i="20"/>
  <c r="K533" i="20"/>
  <c r="P98" i="21"/>
  <c r="K110" i="21"/>
  <c r="N292" i="21"/>
  <c r="N290" i="21" s="1"/>
  <c r="K473" i="21"/>
  <c r="K620" i="21"/>
  <c r="N273" i="10"/>
  <c r="K430" i="10"/>
  <c r="K450" i="10"/>
  <c r="K533" i="10"/>
  <c r="K589" i="11"/>
  <c r="K629" i="11"/>
  <c r="L254" i="12"/>
  <c r="L252" i="12" s="1"/>
  <c r="O582" i="12"/>
  <c r="K109" i="13"/>
  <c r="K345" i="13"/>
  <c r="K533" i="13"/>
  <c r="K612" i="14"/>
  <c r="K215" i="15"/>
  <c r="K421" i="15"/>
  <c r="O437" i="15"/>
  <c r="K591" i="16"/>
  <c r="K595" i="16"/>
  <c r="L122" i="17"/>
  <c r="O122" i="17" s="1"/>
  <c r="O601" i="17"/>
  <c r="K81" i="18"/>
  <c r="L224" i="18"/>
  <c r="L222" i="18" s="1"/>
  <c r="L32" i="18"/>
  <c r="L30" i="18" s="1"/>
  <c r="K635" i="18"/>
  <c r="P98" i="19"/>
  <c r="K340" i="19"/>
  <c r="K349" i="19"/>
  <c r="N31" i="19"/>
  <c r="N29" i="19" s="1"/>
  <c r="K420" i="20"/>
  <c r="K482" i="20"/>
  <c r="N142" i="21"/>
  <c r="P142" i="21" s="1"/>
  <c r="K265" i="21"/>
  <c r="K270" i="21"/>
  <c r="K402" i="21"/>
  <c r="L275" i="10"/>
  <c r="O275" i="10" s="1"/>
  <c r="K350" i="10"/>
  <c r="K473" i="10"/>
  <c r="P122" i="11"/>
  <c r="O349" i="11"/>
  <c r="K425" i="11"/>
  <c r="O457" i="11"/>
  <c r="K634" i="11"/>
  <c r="N142" i="12"/>
  <c r="P142" i="12" s="1"/>
  <c r="K189" i="12"/>
  <c r="K350" i="12"/>
  <c r="O401" i="12"/>
  <c r="K426" i="12"/>
  <c r="K465" i="12"/>
  <c r="N292" i="13"/>
  <c r="N290" i="13" s="1"/>
  <c r="N312" i="13"/>
  <c r="N310" i="13" s="1"/>
  <c r="K630" i="13"/>
  <c r="O49" i="14"/>
  <c r="L98" i="14"/>
  <c r="O98" i="14" s="1"/>
  <c r="K350" i="14"/>
  <c r="K423" i="14"/>
  <c r="K427" i="14"/>
  <c r="K473" i="14"/>
  <c r="K573" i="14"/>
  <c r="K593" i="15"/>
  <c r="L57" i="16"/>
  <c r="O57" i="16" s="1"/>
  <c r="K380" i="16"/>
  <c r="O383" i="16"/>
  <c r="N32" i="17"/>
  <c r="N30" i="17" s="1"/>
  <c r="K595" i="17"/>
  <c r="K380" i="18"/>
  <c r="K425" i="18"/>
  <c r="K474" i="18"/>
  <c r="K591" i="18"/>
  <c r="L23" i="19"/>
  <c r="O23" i="19" s="1"/>
  <c r="K185" i="20"/>
  <c r="O457" i="20"/>
  <c r="O533" i="20"/>
  <c r="N32" i="20"/>
  <c r="N30" i="20" s="1"/>
  <c r="K633" i="20"/>
  <c r="L98" i="21"/>
  <c r="O98" i="21" s="1"/>
  <c r="K111" i="21"/>
  <c r="K149" i="21"/>
  <c r="K377" i="21"/>
  <c r="K419" i="21"/>
  <c r="K423" i="21"/>
  <c r="K427" i="21"/>
  <c r="O439" i="21"/>
  <c r="K466" i="21"/>
  <c r="K533" i="21"/>
  <c r="K423" i="10"/>
  <c r="K499" i="10"/>
  <c r="P57" i="11"/>
  <c r="K65" i="11"/>
  <c r="O535" i="11"/>
  <c r="P57" i="12"/>
  <c r="K402" i="12"/>
  <c r="K423" i="12"/>
  <c r="O435" i="12"/>
  <c r="K620" i="12"/>
  <c r="P120" i="13"/>
  <c r="L294" i="13"/>
  <c r="O294" i="13" s="1"/>
  <c r="O354" i="13"/>
  <c r="K498" i="13"/>
  <c r="O537" i="13"/>
  <c r="N26" i="14"/>
  <c r="N16" i="14" s="1"/>
  <c r="L57" i="14"/>
  <c r="L55" i="14" s="1"/>
  <c r="L53" i="14" s="1"/>
  <c r="K265" i="14"/>
  <c r="K343" i="14"/>
  <c r="K377" i="14"/>
  <c r="O385" i="14"/>
  <c r="K416" i="14"/>
  <c r="K424" i="14"/>
  <c r="K428" i="14"/>
  <c r="K449" i="14"/>
  <c r="O457" i="14"/>
  <c r="K497" i="14"/>
  <c r="K629" i="14"/>
  <c r="L57" i="15"/>
  <c r="L55" i="15" s="1"/>
  <c r="L53" i="15" s="1"/>
  <c r="K81" i="15"/>
  <c r="O102" i="15"/>
  <c r="N142" i="15"/>
  <c r="N140" i="15" s="1"/>
  <c r="K173" i="15"/>
  <c r="K422" i="16"/>
  <c r="K426" i="16"/>
  <c r="K64" i="17"/>
  <c r="K372" i="17"/>
  <c r="K402" i="17"/>
  <c r="K628" i="17"/>
  <c r="K649" i="17"/>
  <c r="K482" i="18"/>
  <c r="K533" i="18"/>
  <c r="O564" i="18"/>
  <c r="K81" i="19"/>
  <c r="K149" i="19"/>
  <c r="K341" i="19"/>
  <c r="K345" i="19"/>
  <c r="K425" i="19"/>
  <c r="K450" i="19"/>
  <c r="K229" i="20"/>
  <c r="K285" i="20"/>
  <c r="P333" i="20"/>
  <c r="K396" i="20"/>
  <c r="O404" i="20"/>
  <c r="K417" i="20"/>
  <c r="K589" i="20"/>
  <c r="K593" i="20"/>
  <c r="K108" i="21"/>
  <c r="K266" i="21"/>
  <c r="K482" i="21"/>
  <c r="O564" i="21"/>
  <c r="O568" i="21"/>
  <c r="K635" i="21"/>
  <c r="K173" i="2"/>
  <c r="K343" i="2"/>
  <c r="K368" i="2"/>
  <c r="O383" i="2"/>
  <c r="K499" i="2"/>
  <c r="K593" i="2"/>
  <c r="K665" i="2"/>
  <c r="P57" i="3"/>
  <c r="P70" i="3"/>
  <c r="N252" i="3"/>
  <c r="N250" i="3" s="1"/>
  <c r="K376" i="3"/>
  <c r="O380" i="3"/>
  <c r="K432" i="3"/>
  <c r="O457" i="3"/>
  <c r="O533" i="3"/>
  <c r="K613" i="3"/>
  <c r="K628" i="3"/>
  <c r="K164" i="4"/>
  <c r="L254" i="4"/>
  <c r="O254" i="4" s="1"/>
  <c r="N292" i="4"/>
  <c r="N290" i="4" s="1"/>
  <c r="L333" i="4"/>
  <c r="O333" i="4" s="1"/>
  <c r="K401" i="4"/>
  <c r="O568" i="4"/>
  <c r="O597" i="4"/>
  <c r="M68" i="5"/>
  <c r="M66" i="5" s="1"/>
  <c r="O102" i="5"/>
  <c r="L144" i="5"/>
  <c r="L142" i="5" s="1"/>
  <c r="K185" i="5"/>
  <c r="K372" i="5"/>
  <c r="K376" i="5"/>
  <c r="O437" i="5"/>
  <c r="K466" i="5"/>
  <c r="K624" i="5"/>
  <c r="K629" i="5"/>
  <c r="N222" i="6"/>
  <c r="N220" i="6" s="1"/>
  <c r="K266" i="6"/>
  <c r="L275" i="6"/>
  <c r="O275" i="6" s="1"/>
  <c r="K285" i="6"/>
  <c r="K324" i="6"/>
  <c r="K368" i="6"/>
  <c r="K372" i="6"/>
  <c r="O406" i="6"/>
  <c r="K419" i="6"/>
  <c r="K427" i="6"/>
  <c r="O455" i="6"/>
  <c r="K533" i="6"/>
  <c r="K573" i="6"/>
  <c r="O584" i="6"/>
  <c r="K623" i="6"/>
  <c r="N55" i="7"/>
  <c r="N53" i="7" s="1"/>
  <c r="P57" i="7"/>
  <c r="N26" i="2"/>
  <c r="N16" i="2" s="1"/>
  <c r="P275" i="2"/>
  <c r="K533" i="2"/>
  <c r="O580" i="2"/>
  <c r="O597" i="2"/>
  <c r="K631" i="2"/>
  <c r="L254" i="3"/>
  <c r="O254" i="3" s="1"/>
  <c r="O347" i="3"/>
  <c r="K499" i="3"/>
  <c r="K133" i="4"/>
  <c r="K270" i="4"/>
  <c r="K380" i="4"/>
  <c r="K397" i="4"/>
  <c r="K428" i="4"/>
  <c r="O455" i="4"/>
  <c r="K632" i="4"/>
  <c r="L294" i="5"/>
  <c r="O294" i="5" s="1"/>
  <c r="K422" i="5"/>
  <c r="O601" i="5"/>
  <c r="L33" i="6"/>
  <c r="O33" i="6" s="1"/>
  <c r="N120" i="6"/>
  <c r="N118" i="6" s="1"/>
  <c r="P144" i="6"/>
  <c r="P333" i="6"/>
  <c r="K620" i="6"/>
  <c r="K164" i="2"/>
  <c r="L224" i="2"/>
  <c r="O224" i="2" s="1"/>
  <c r="K621" i="4"/>
  <c r="K624" i="4"/>
  <c r="L26" i="6"/>
  <c r="L16" i="6" s="1"/>
  <c r="N22" i="6"/>
  <c r="O553" i="6"/>
  <c r="K629" i="6"/>
  <c r="K285" i="2"/>
  <c r="K328" i="2"/>
  <c r="P333" i="2"/>
  <c r="K381" i="2"/>
  <c r="O435" i="2"/>
  <c r="O459" i="2"/>
  <c r="O533" i="2"/>
  <c r="O537" i="2"/>
  <c r="O564" i="2"/>
  <c r="K591" i="2"/>
  <c r="K595" i="2"/>
  <c r="K80" i="3"/>
  <c r="K108" i="3"/>
  <c r="K235" i="3"/>
  <c r="K349" i="3"/>
  <c r="K464" i="3"/>
  <c r="P49" i="4"/>
  <c r="K149" i="4"/>
  <c r="K219" i="4"/>
  <c r="N273" i="4"/>
  <c r="N271" i="4" s="1"/>
  <c r="N32" i="4"/>
  <c r="N30" i="4" s="1"/>
  <c r="O380" i="4"/>
  <c r="K398" i="4"/>
  <c r="K402" i="4"/>
  <c r="K429" i="4"/>
  <c r="K633" i="4"/>
  <c r="K219" i="5"/>
  <c r="N331" i="5"/>
  <c r="N329" i="5" s="1"/>
  <c r="O385" i="5"/>
  <c r="K419" i="5"/>
  <c r="K435" i="5"/>
  <c r="K482" i="5"/>
  <c r="O566" i="5"/>
  <c r="K630" i="5"/>
  <c r="K634" i="5"/>
  <c r="P57" i="6"/>
  <c r="K189" i="6"/>
  <c r="P254" i="6"/>
  <c r="P294" i="6"/>
  <c r="K341" i="6"/>
  <c r="O380" i="6"/>
  <c r="O383" i="6"/>
  <c r="K428" i="6"/>
  <c r="K551" i="6"/>
  <c r="K560" i="6"/>
  <c r="K634" i="6"/>
  <c r="K665" i="6"/>
  <c r="N222" i="7"/>
  <c r="N220" i="7" s="1"/>
  <c r="N55" i="2"/>
  <c r="N53" i="2" s="1"/>
  <c r="K309" i="2"/>
  <c r="N32" i="2"/>
  <c r="N30" i="2" s="1"/>
  <c r="K416" i="2"/>
  <c r="K424" i="2"/>
  <c r="O439" i="2"/>
  <c r="N581" i="1"/>
  <c r="K88" i="3"/>
  <c r="K113" i="3"/>
  <c r="K564" i="3"/>
  <c r="K597" i="3"/>
  <c r="N26" i="4"/>
  <c r="N16" i="4" s="1"/>
  <c r="K117" i="4"/>
  <c r="K498" i="4"/>
  <c r="O599" i="4"/>
  <c r="K615" i="4"/>
  <c r="K370" i="5"/>
  <c r="K416" i="5"/>
  <c r="O439" i="5"/>
  <c r="L98" i="6"/>
  <c r="O98" i="6" s="1"/>
  <c r="K108" i="6"/>
  <c r="K289" i="6"/>
  <c r="K328" i="6"/>
  <c r="K345" i="6"/>
  <c r="K349" i="6"/>
  <c r="K370" i="6"/>
  <c r="K377" i="6"/>
  <c r="K397" i="6"/>
  <c r="K417" i="6"/>
  <c r="K429" i="6"/>
  <c r="O457" i="6"/>
  <c r="K547" i="6"/>
  <c r="K595" i="6"/>
  <c r="L32" i="3"/>
  <c r="L30" i="3" s="1"/>
  <c r="N22" i="3"/>
  <c r="N120" i="5"/>
  <c r="N118" i="5" s="1"/>
  <c r="M292" i="5"/>
  <c r="P292" i="5" s="1"/>
  <c r="M222" i="6"/>
  <c r="M220" i="6" s="1"/>
  <c r="N22" i="7"/>
  <c r="K92" i="7"/>
  <c r="L24" i="2"/>
  <c r="O24" i="2" s="1"/>
  <c r="L70" i="2"/>
  <c r="O70" i="2" s="1"/>
  <c r="K270" i="2"/>
  <c r="K304" i="2"/>
  <c r="K324" i="2"/>
  <c r="K396" i="2"/>
  <c r="K401" i="2"/>
  <c r="K417" i="2"/>
  <c r="L45" i="3"/>
  <c r="L43" i="3" s="1"/>
  <c r="K64" i="3"/>
  <c r="O74" i="3"/>
  <c r="K396" i="3"/>
  <c r="O404" i="3"/>
  <c r="K417" i="3"/>
  <c r="K428" i="3"/>
  <c r="K533" i="3"/>
  <c r="O564" i="3"/>
  <c r="O568" i="3"/>
  <c r="K591" i="3"/>
  <c r="O601" i="3"/>
  <c r="L640" i="3"/>
  <c r="L638" i="3" s="1"/>
  <c r="K173" i="4"/>
  <c r="N33" i="4"/>
  <c r="N13" i="4" s="1"/>
  <c r="K573" i="4"/>
  <c r="K612" i="4"/>
  <c r="L33" i="5"/>
  <c r="O33" i="5" s="1"/>
  <c r="K111" i="5"/>
  <c r="K173" i="5"/>
  <c r="N273" i="5"/>
  <c r="N271" i="5" s="1"/>
  <c r="K375" i="5"/>
  <c r="K380" i="5"/>
  <c r="K417" i="5"/>
  <c r="K428" i="5"/>
  <c r="K449" i="5"/>
  <c r="K628" i="5"/>
  <c r="K632" i="5"/>
  <c r="K649" i="5"/>
  <c r="J651" i="5"/>
  <c r="J671" i="5"/>
  <c r="L294" i="6"/>
  <c r="L292" i="6" s="1"/>
  <c r="L290" i="6" s="1"/>
  <c r="K304" i="6"/>
  <c r="N312" i="6"/>
  <c r="N310" i="6" s="1"/>
  <c r="K398" i="6"/>
  <c r="K422" i="6"/>
  <c r="K426" i="6"/>
  <c r="K430" i="6"/>
  <c r="K435" i="6"/>
  <c r="K580" i="6"/>
  <c r="K589" i="6"/>
  <c r="O599" i="6"/>
  <c r="K93" i="7"/>
  <c r="K235" i="7"/>
  <c r="K341" i="7"/>
  <c r="K419" i="7"/>
  <c r="K430" i="7"/>
  <c r="O533" i="7"/>
  <c r="K132" i="8"/>
  <c r="K396" i="8"/>
  <c r="O437" i="8"/>
  <c r="K450" i="8"/>
  <c r="O535" i="8"/>
  <c r="O568" i="8"/>
  <c r="O597" i="8"/>
  <c r="O601" i="8"/>
  <c r="K629" i="8"/>
  <c r="K633" i="8"/>
  <c r="L57" i="9"/>
  <c r="O57" i="9" s="1"/>
  <c r="L70" i="9"/>
  <c r="O70" i="9" s="1"/>
  <c r="K80" i="9"/>
  <c r="P122" i="9"/>
  <c r="K164" i="9"/>
  <c r="K328" i="9"/>
  <c r="K343" i="9"/>
  <c r="O459" i="9"/>
  <c r="K465" i="9"/>
  <c r="K498" i="9"/>
  <c r="O535" i="9"/>
  <c r="K618" i="9"/>
  <c r="K625" i="9"/>
  <c r="N26" i="10"/>
  <c r="N16" i="10" s="1"/>
  <c r="P70" i="10"/>
  <c r="K110" i="10"/>
  <c r="K138" i="10"/>
  <c r="P144" i="10"/>
  <c r="K176" i="10"/>
  <c r="K396" i="10"/>
  <c r="O404" i="10"/>
  <c r="O535" i="10"/>
  <c r="O582" i="10"/>
  <c r="K591" i="10"/>
  <c r="K621" i="10"/>
  <c r="K630" i="10"/>
  <c r="M22" i="11"/>
  <c r="M12" i="11" s="1"/>
  <c r="K111" i="11"/>
  <c r="K117" i="11"/>
  <c r="K164" i="11"/>
  <c r="K270" i="11"/>
  <c r="N331" i="9"/>
  <c r="N329" i="9" s="1"/>
  <c r="M96" i="10"/>
  <c r="M94" i="10" s="1"/>
  <c r="N142" i="10"/>
  <c r="N140" i="10" s="1"/>
  <c r="L26" i="11"/>
  <c r="L70" i="7"/>
  <c r="L68" i="7" s="1"/>
  <c r="O68" i="7" s="1"/>
  <c r="L98" i="7"/>
  <c r="L96" i="7" s="1"/>
  <c r="L94" i="7" s="1"/>
  <c r="K108" i="7"/>
  <c r="K112" i="7"/>
  <c r="K164" i="7"/>
  <c r="K185" i="7"/>
  <c r="N292" i="7"/>
  <c r="N290" i="7" s="1"/>
  <c r="N331" i="7"/>
  <c r="N329" i="7" s="1"/>
  <c r="K350" i="7"/>
  <c r="O383" i="7"/>
  <c r="O404" i="7"/>
  <c r="K424" i="7"/>
  <c r="O455" i="7"/>
  <c r="K497" i="7"/>
  <c r="K560" i="7"/>
  <c r="J671" i="7"/>
  <c r="K189" i="8"/>
  <c r="N252" i="8"/>
  <c r="N250" i="8" s="1"/>
  <c r="K340" i="8"/>
  <c r="K397" i="8"/>
  <c r="K427" i="8"/>
  <c r="K474" i="8"/>
  <c r="K481" i="8"/>
  <c r="K533" i="8"/>
  <c r="K630" i="8"/>
  <c r="K634" i="8"/>
  <c r="J651" i="8"/>
  <c r="K651" i="8" s="1"/>
  <c r="L33" i="9"/>
  <c r="O33" i="9" s="1"/>
  <c r="P74" i="9"/>
  <c r="N96" i="9"/>
  <c r="N94" i="9" s="1"/>
  <c r="K109" i="9"/>
  <c r="L122" i="9"/>
  <c r="L120" i="9" s="1"/>
  <c r="K235" i="9"/>
  <c r="O385" i="9"/>
  <c r="K420" i="9"/>
  <c r="K466" i="9"/>
  <c r="K499" i="9"/>
  <c r="K619" i="9"/>
  <c r="L70" i="10"/>
  <c r="O70" i="10" s="1"/>
  <c r="K87" i="10"/>
  <c r="K111" i="10"/>
  <c r="L144" i="10"/>
  <c r="L142" i="10" s="1"/>
  <c r="K199" i="10"/>
  <c r="P224" i="10"/>
  <c r="M252" i="10"/>
  <c r="P252" i="10" s="1"/>
  <c r="P333" i="10"/>
  <c r="K340" i="10"/>
  <c r="O354" i="10"/>
  <c r="O401" i="10"/>
  <c r="K580" i="10"/>
  <c r="O599" i="10"/>
  <c r="K82" i="11"/>
  <c r="K112" i="11"/>
  <c r="K235" i="11"/>
  <c r="K626" i="9"/>
  <c r="P333" i="7"/>
  <c r="O380" i="7"/>
  <c r="K421" i="7"/>
  <c r="K498" i="7"/>
  <c r="O555" i="7"/>
  <c r="K635" i="7"/>
  <c r="K264" i="8"/>
  <c r="K421" i="8"/>
  <c r="K428" i="8"/>
  <c r="O439" i="8"/>
  <c r="K564" i="8"/>
  <c r="O599" i="8"/>
  <c r="K635" i="8"/>
  <c r="K85" i="9"/>
  <c r="L314" i="9"/>
  <c r="O314" i="9" s="1"/>
  <c r="N32" i="9"/>
  <c r="N30" i="9" s="1"/>
  <c r="K450" i="9"/>
  <c r="K455" i="9"/>
  <c r="K474" i="9"/>
  <c r="O537" i="9"/>
  <c r="L98" i="10"/>
  <c r="L96" i="10" s="1"/>
  <c r="L94" i="10" s="1"/>
  <c r="K112" i="10"/>
  <c r="L224" i="10"/>
  <c r="L222" i="10" s="1"/>
  <c r="K270" i="10"/>
  <c r="N312" i="10"/>
  <c r="N310" i="10" s="1"/>
  <c r="L333" i="10"/>
  <c r="O333" i="10" s="1"/>
  <c r="K341" i="10"/>
  <c r="O406" i="10"/>
  <c r="K425" i="10"/>
  <c r="K432" i="10"/>
  <c r="K474" i="10"/>
  <c r="K498" i="10"/>
  <c r="O533" i="10"/>
  <c r="K573" i="10"/>
  <c r="K589" i="10"/>
  <c r="K597" i="10"/>
  <c r="K635" i="10"/>
  <c r="K83" i="11"/>
  <c r="M120" i="11"/>
  <c r="M118" i="11" s="1"/>
  <c r="K199" i="11"/>
  <c r="K219" i="11"/>
  <c r="K377" i="7"/>
  <c r="K429" i="7"/>
  <c r="O535" i="7"/>
  <c r="O599" i="7"/>
  <c r="K628" i="7"/>
  <c r="P275" i="8"/>
  <c r="P294" i="8"/>
  <c r="K370" i="8"/>
  <c r="K425" i="8"/>
  <c r="O459" i="8"/>
  <c r="K426" i="9"/>
  <c r="K482" i="9"/>
  <c r="O568" i="9"/>
  <c r="K110" i="11"/>
  <c r="K345" i="11"/>
  <c r="K418" i="7"/>
  <c r="K422" i="7"/>
  <c r="K481" i="7"/>
  <c r="K533" i="7"/>
  <c r="O383" i="9"/>
  <c r="K64" i="10"/>
  <c r="K185" i="10"/>
  <c r="K464" i="10"/>
  <c r="P144" i="8"/>
  <c r="L294" i="8"/>
  <c r="O294" i="8" s="1"/>
  <c r="K632" i="8"/>
  <c r="N55" i="9"/>
  <c r="N53" i="9" s="1"/>
  <c r="N68" i="9"/>
  <c r="N66" i="9" s="1"/>
  <c r="P224" i="9"/>
  <c r="N273" i="9"/>
  <c r="N271" i="9" s="1"/>
  <c r="K621" i="9"/>
  <c r="N55" i="10"/>
  <c r="N53" i="10" s="1"/>
  <c r="K85" i="10"/>
  <c r="P102" i="10"/>
  <c r="P122" i="10"/>
  <c r="K285" i="10"/>
  <c r="K381" i="10"/>
  <c r="O385" i="10"/>
  <c r="O597" i="10"/>
  <c r="N120" i="11"/>
  <c r="N118" i="11" s="1"/>
  <c r="N273" i="11"/>
  <c r="N271" i="11" s="1"/>
  <c r="O564" i="11"/>
  <c r="N312" i="12"/>
  <c r="N310" i="12" s="1"/>
  <c r="O406" i="12"/>
  <c r="K435" i="12"/>
  <c r="K449" i="12"/>
  <c r="K591" i="12"/>
  <c r="O597" i="12"/>
  <c r="K199" i="13"/>
  <c r="K416" i="13"/>
  <c r="K420" i="13"/>
  <c r="K424" i="13"/>
  <c r="O439" i="13"/>
  <c r="O535" i="13"/>
  <c r="N43" i="14"/>
  <c r="N41" i="14" s="1"/>
  <c r="L70" i="14"/>
  <c r="K176" i="14"/>
  <c r="K186" i="14"/>
  <c r="N273" i="14"/>
  <c r="N271" i="14" s="1"/>
  <c r="K429" i="14"/>
  <c r="K450" i="14"/>
  <c r="N96" i="15"/>
  <c r="N94" i="15" s="1"/>
  <c r="L224" i="15"/>
  <c r="L222" i="15" s="1"/>
  <c r="L220" i="15" s="1"/>
  <c r="K264" i="15"/>
  <c r="K481" i="15"/>
  <c r="K631" i="15"/>
  <c r="J651" i="15"/>
  <c r="P57" i="16"/>
  <c r="L98" i="16"/>
  <c r="O98" i="16" s="1"/>
  <c r="K370" i="16"/>
  <c r="K418" i="16"/>
  <c r="O601" i="16"/>
  <c r="K430" i="19"/>
  <c r="O537" i="11"/>
  <c r="J671" i="11"/>
  <c r="K481" i="12"/>
  <c r="K630" i="12"/>
  <c r="N252" i="13"/>
  <c r="N250" i="13" s="1"/>
  <c r="P314" i="13"/>
  <c r="O349" i="13"/>
  <c r="K617" i="13"/>
  <c r="L275" i="14"/>
  <c r="L273" i="14" s="1"/>
  <c r="O401" i="14"/>
  <c r="K418" i="14"/>
  <c r="O564" i="14"/>
  <c r="O584" i="14"/>
  <c r="O380" i="15"/>
  <c r="K419" i="15"/>
  <c r="O435" i="15"/>
  <c r="K625" i="16"/>
  <c r="O537" i="17"/>
  <c r="N34" i="17"/>
  <c r="N14" i="17" s="1"/>
  <c r="P144" i="12"/>
  <c r="L314" i="12"/>
  <c r="L312" i="12" s="1"/>
  <c r="K419" i="12"/>
  <c r="K473" i="12"/>
  <c r="K595" i="12"/>
  <c r="K615" i="12"/>
  <c r="K614" i="12"/>
  <c r="K425" i="13"/>
  <c r="K631" i="13"/>
  <c r="K81" i="14"/>
  <c r="O597" i="14"/>
  <c r="K620" i="14"/>
  <c r="N120" i="15"/>
  <c r="N118" i="15" s="1"/>
  <c r="K235" i="15"/>
  <c r="K340" i="15"/>
  <c r="K595" i="15"/>
  <c r="K620" i="15"/>
  <c r="K623" i="15"/>
  <c r="K635" i="15"/>
  <c r="L70" i="16"/>
  <c r="O70" i="16" s="1"/>
  <c r="M96" i="16"/>
  <c r="M94" i="16" s="1"/>
  <c r="P94" i="16" s="1"/>
  <c r="K235" i="16"/>
  <c r="N292" i="16"/>
  <c r="N290" i="16" s="1"/>
  <c r="N312" i="16"/>
  <c r="N310" i="16" s="1"/>
  <c r="K343" i="16"/>
  <c r="K419" i="16"/>
  <c r="K564" i="16"/>
  <c r="K618" i="16"/>
  <c r="K631" i="16"/>
  <c r="K635" i="16"/>
  <c r="N222" i="17"/>
  <c r="N220" i="17" s="1"/>
  <c r="O438" i="18"/>
  <c r="L33" i="18"/>
  <c r="O33" i="18" s="1"/>
  <c r="O347" i="11"/>
  <c r="O354" i="11"/>
  <c r="K377" i="11"/>
  <c r="K397" i="11"/>
  <c r="K418" i="11"/>
  <c r="K630" i="11"/>
  <c r="L70" i="12"/>
  <c r="O70" i="12" s="1"/>
  <c r="K482" i="12"/>
  <c r="K611" i="12"/>
  <c r="P70" i="13"/>
  <c r="K189" i="13"/>
  <c r="K350" i="13"/>
  <c r="K380" i="13"/>
  <c r="K455" i="13"/>
  <c r="K618" i="13"/>
  <c r="M68" i="14"/>
  <c r="M66" i="14" s="1"/>
  <c r="L224" i="14"/>
  <c r="O224" i="14" s="1"/>
  <c r="K199" i="12"/>
  <c r="M252" i="12"/>
  <c r="P252" i="12" s="1"/>
  <c r="K343" i="12"/>
  <c r="K432" i="12"/>
  <c r="K551" i="13"/>
  <c r="O553" i="13"/>
  <c r="K628" i="13"/>
  <c r="M49" i="14"/>
  <c r="P49" i="14" s="1"/>
  <c r="K65" i="14"/>
  <c r="L122" i="14"/>
  <c r="L120" i="14" s="1"/>
  <c r="O120" i="14" s="1"/>
  <c r="K249" i="14"/>
  <c r="K340" i="14"/>
  <c r="O354" i="14"/>
  <c r="K402" i="14"/>
  <c r="K624" i="14"/>
  <c r="N22" i="15"/>
  <c r="P57" i="15"/>
  <c r="L70" i="15"/>
  <c r="L68" i="15" s="1"/>
  <c r="L66" i="15" s="1"/>
  <c r="K80" i="15"/>
  <c r="O352" i="15"/>
  <c r="O401" i="15"/>
  <c r="K465" i="15"/>
  <c r="O601" i="15"/>
  <c r="N43" i="16"/>
  <c r="N41" i="16" s="1"/>
  <c r="L144" i="16"/>
  <c r="O144" i="16" s="1"/>
  <c r="K270" i="16"/>
  <c r="P275" i="16"/>
  <c r="L294" i="16"/>
  <c r="O294" i="16" s="1"/>
  <c r="K423" i="16"/>
  <c r="K497" i="16"/>
  <c r="K547" i="16"/>
  <c r="K573" i="16"/>
  <c r="K628" i="16"/>
  <c r="K429" i="17"/>
  <c r="K424" i="18"/>
  <c r="O351" i="19"/>
  <c r="L31" i="19"/>
  <c r="O31" i="19" s="1"/>
  <c r="K402" i="11"/>
  <c r="K422" i="11"/>
  <c r="K580" i="11"/>
  <c r="L640" i="11"/>
  <c r="L638" i="11" s="1"/>
  <c r="N331" i="12"/>
  <c r="N329" i="12" s="1"/>
  <c r="K497" i="12"/>
  <c r="O537" i="12"/>
  <c r="K376" i="13"/>
  <c r="O380" i="13"/>
  <c r="K435" i="13"/>
  <c r="O455" i="13"/>
  <c r="K420" i="14"/>
  <c r="O566" i="14"/>
  <c r="K613" i="14"/>
  <c r="K618" i="14"/>
  <c r="K621" i="14"/>
  <c r="K630" i="14"/>
  <c r="N55" i="15"/>
  <c r="N53" i="15" s="1"/>
  <c r="K108" i="15"/>
  <c r="K112" i="15"/>
  <c r="K398" i="15"/>
  <c r="K497" i="15"/>
  <c r="K589" i="15"/>
  <c r="K345" i="16"/>
  <c r="K473" i="16"/>
  <c r="O568" i="16"/>
  <c r="M140" i="18"/>
  <c r="K481" i="11"/>
  <c r="P43" i="12"/>
  <c r="K341" i="12"/>
  <c r="O352" i="12"/>
  <c r="K623" i="12"/>
  <c r="K628" i="12"/>
  <c r="K93" i="13"/>
  <c r="L98" i="13"/>
  <c r="L96" i="13" s="1"/>
  <c r="L94" i="13" s="1"/>
  <c r="K149" i="13"/>
  <c r="K560" i="13"/>
  <c r="O599" i="13"/>
  <c r="L314" i="14"/>
  <c r="O314" i="14" s="1"/>
  <c r="K341" i="14"/>
  <c r="K349" i="14"/>
  <c r="O337" i="11"/>
  <c r="K375" i="11"/>
  <c r="K464" i="11"/>
  <c r="K474" i="11"/>
  <c r="K64" i="12"/>
  <c r="N68" i="13"/>
  <c r="N66" i="13" s="1"/>
  <c r="K349" i="13"/>
  <c r="K377" i="13"/>
  <c r="K427" i="13"/>
  <c r="K465" i="13"/>
  <c r="K497" i="13"/>
  <c r="K593" i="13"/>
  <c r="K616" i="13"/>
  <c r="K164" i="14"/>
  <c r="K401" i="14"/>
  <c r="O404" i="14"/>
  <c r="K499" i="14"/>
  <c r="K631" i="14"/>
  <c r="J651" i="14"/>
  <c r="K85" i="15"/>
  <c r="K113" i="15"/>
  <c r="M273" i="15"/>
  <c r="P273" i="15" s="1"/>
  <c r="K343" i="15"/>
  <c r="K380" i="15"/>
  <c r="K422" i="15"/>
  <c r="K435" i="15"/>
  <c r="K450" i="15"/>
  <c r="K498" i="15"/>
  <c r="K547" i="15"/>
  <c r="O580" i="15"/>
  <c r="K634" i="15"/>
  <c r="N120" i="16"/>
  <c r="N118" i="16" s="1"/>
  <c r="N142" i="16"/>
  <c r="N140" i="16" s="1"/>
  <c r="M292" i="16"/>
  <c r="P292" i="16" s="1"/>
  <c r="K402" i="16"/>
  <c r="K421" i="16"/>
  <c r="K431" i="16"/>
  <c r="K451" i="16"/>
  <c r="K464" i="16"/>
  <c r="K474" i="16"/>
  <c r="K533" i="16"/>
  <c r="K397" i="17"/>
  <c r="O401" i="17"/>
  <c r="K421" i="17"/>
  <c r="O457" i="17"/>
  <c r="K481" i="17"/>
  <c r="O564" i="17"/>
  <c r="O597" i="17"/>
  <c r="K629" i="17"/>
  <c r="K633" i="17"/>
  <c r="K199" i="18"/>
  <c r="K401" i="18"/>
  <c r="K416" i="18"/>
  <c r="K420" i="18"/>
  <c r="K597" i="18"/>
  <c r="K649" i="18"/>
  <c r="K84" i="19"/>
  <c r="O401" i="19"/>
  <c r="K422" i="19"/>
  <c r="K426" i="19"/>
  <c r="K498" i="19"/>
  <c r="K267" i="20"/>
  <c r="K377" i="20"/>
  <c r="K381" i="20"/>
  <c r="O406" i="20"/>
  <c r="K419" i="20"/>
  <c r="K498" i="20"/>
  <c r="K547" i="20"/>
  <c r="K580" i="20"/>
  <c r="O651" i="20"/>
  <c r="O347" i="21"/>
  <c r="K398" i="21"/>
  <c r="K418" i="21"/>
  <c r="K426" i="21"/>
  <c r="K450" i="21"/>
  <c r="K481" i="21"/>
  <c r="K498" i="21"/>
  <c r="K564" i="21"/>
  <c r="O597" i="21"/>
  <c r="K93" i="17"/>
  <c r="P98" i="17"/>
  <c r="K625" i="17"/>
  <c r="K634" i="17"/>
  <c r="N142" i="18"/>
  <c r="P142" i="18" s="1"/>
  <c r="K189" i="18"/>
  <c r="O337" i="18"/>
  <c r="K375" i="18"/>
  <c r="O383" i="18"/>
  <c r="K455" i="18"/>
  <c r="K621" i="18"/>
  <c r="K376" i="19"/>
  <c r="O380" i="19"/>
  <c r="K398" i="19"/>
  <c r="K402" i="19"/>
  <c r="K419" i="19"/>
  <c r="N33" i="19"/>
  <c r="N13" i="19" s="1"/>
  <c r="K499" i="19"/>
  <c r="N292" i="20"/>
  <c r="N290" i="20" s="1"/>
  <c r="K597" i="20"/>
  <c r="L254" i="21"/>
  <c r="L252" i="21" s="1"/>
  <c r="K381" i="21"/>
  <c r="K455" i="17"/>
  <c r="M273" i="18"/>
  <c r="P273" i="18" s="1"/>
  <c r="P292" i="18"/>
  <c r="K573" i="18"/>
  <c r="O597" i="18"/>
  <c r="K634" i="18"/>
  <c r="M250" i="19"/>
  <c r="P250" i="19" s="1"/>
  <c r="K626" i="19"/>
  <c r="L45" i="20"/>
  <c r="L43" i="20" s="1"/>
  <c r="L41" i="20" s="1"/>
  <c r="L122" i="20"/>
  <c r="O122" i="20" s="1"/>
  <c r="K428" i="20"/>
  <c r="K432" i="20"/>
  <c r="O459" i="20"/>
  <c r="N31" i="20"/>
  <c r="N29" i="20" s="1"/>
  <c r="K564" i="20"/>
  <c r="O584" i="20"/>
  <c r="K648" i="20"/>
  <c r="N96" i="21"/>
  <c r="N94" i="21" s="1"/>
  <c r="K186" i="21"/>
  <c r="L333" i="21"/>
  <c r="L331" i="21" s="1"/>
  <c r="L329" i="21" s="1"/>
  <c r="K341" i="21"/>
  <c r="K345" i="21"/>
  <c r="O459" i="21"/>
  <c r="K465" i="21"/>
  <c r="O533" i="21"/>
  <c r="O537" i="21"/>
  <c r="K112" i="17"/>
  <c r="P224" i="17"/>
  <c r="O406" i="17"/>
  <c r="K427" i="17"/>
  <c r="M49" i="18"/>
  <c r="P49" i="18" s="1"/>
  <c r="P70" i="18"/>
  <c r="K82" i="18"/>
  <c r="K164" i="18"/>
  <c r="K185" i="18"/>
  <c r="K201" i="18"/>
  <c r="P333" i="18"/>
  <c r="K343" i="18"/>
  <c r="K422" i="18"/>
  <c r="K551" i="18"/>
  <c r="O553" i="18"/>
  <c r="O568" i="18"/>
  <c r="P314" i="19"/>
  <c r="K424" i="19"/>
  <c r="K428" i="19"/>
  <c r="K547" i="19"/>
  <c r="K623" i="19"/>
  <c r="N55" i="20"/>
  <c r="N53" i="20" s="1"/>
  <c r="N33" i="20"/>
  <c r="N13" i="20" s="1"/>
  <c r="N252" i="21"/>
  <c r="P252" i="21" s="1"/>
  <c r="L294" i="17"/>
  <c r="L292" i="17" s="1"/>
  <c r="O385" i="17"/>
  <c r="O439" i="17"/>
  <c r="N68" i="18"/>
  <c r="N66" i="18" s="1"/>
  <c r="K628" i="18"/>
  <c r="K631" i="18"/>
  <c r="K65" i="19"/>
  <c r="M120" i="19"/>
  <c r="P120" i="19" s="1"/>
  <c r="K186" i="19"/>
  <c r="N273" i="19"/>
  <c r="N271" i="19" s="1"/>
  <c r="N331" i="19"/>
  <c r="N329" i="19" s="1"/>
  <c r="K620" i="19"/>
  <c r="L57" i="20"/>
  <c r="O57" i="20" s="1"/>
  <c r="K80" i="20"/>
  <c r="K158" i="20"/>
  <c r="O354" i="20"/>
  <c r="K368" i="20"/>
  <c r="K421" i="20"/>
  <c r="K429" i="20"/>
  <c r="O437" i="20"/>
  <c r="K450" i="20"/>
  <c r="O564" i="20"/>
  <c r="O568" i="20"/>
  <c r="O601" i="20"/>
  <c r="J671" i="20"/>
  <c r="K671" i="20" s="1"/>
  <c r="P49" i="21"/>
  <c r="K219" i="21"/>
  <c r="L294" i="21"/>
  <c r="L292" i="21" s="1"/>
  <c r="O383" i="21"/>
  <c r="K396" i="21"/>
  <c r="O404" i="21"/>
  <c r="K416" i="21"/>
  <c r="K424" i="21"/>
  <c r="O551" i="21"/>
  <c r="K580" i="21"/>
  <c r="K593" i="21"/>
  <c r="K631" i="21"/>
  <c r="N68" i="17"/>
  <c r="N66" i="17" s="1"/>
  <c r="K173" i="17"/>
  <c r="K199" i="17"/>
  <c r="L70" i="18"/>
  <c r="O70" i="18" s="1"/>
  <c r="K229" i="18"/>
  <c r="L254" i="18"/>
  <c r="L333" i="18"/>
  <c r="O333" i="18" s="1"/>
  <c r="N34" i="18"/>
  <c r="K419" i="18"/>
  <c r="N222" i="19"/>
  <c r="N220" i="19" s="1"/>
  <c r="L32" i="19"/>
  <c r="L30" i="19" s="1"/>
  <c r="K421" i="19"/>
  <c r="K429" i="19"/>
  <c r="K635" i="20"/>
  <c r="J651" i="20"/>
  <c r="K651" i="20" s="1"/>
  <c r="N31" i="21"/>
  <c r="N11" i="21" s="1"/>
  <c r="N9" i="21" s="1"/>
  <c r="K626" i="21"/>
  <c r="K133" i="17"/>
  <c r="K189" i="17"/>
  <c r="K340" i="17"/>
  <c r="O347" i="17"/>
  <c r="K375" i="17"/>
  <c r="K396" i="17"/>
  <c r="O404" i="17"/>
  <c r="K417" i="17"/>
  <c r="K424" i="17"/>
  <c r="K466" i="17"/>
  <c r="K473" i="17"/>
  <c r="P45" i="18"/>
  <c r="O349" i="18"/>
  <c r="K427" i="18"/>
  <c r="K450" i="18"/>
  <c r="O457" i="18"/>
  <c r="K466" i="18"/>
  <c r="K498" i="18"/>
  <c r="O535" i="18"/>
  <c r="O555" i="18"/>
  <c r="L70" i="19"/>
  <c r="O70" i="19" s="1"/>
  <c r="K199" i="19"/>
  <c r="K219" i="19"/>
  <c r="K343" i="19"/>
  <c r="K401" i="19"/>
  <c r="K455" i="19"/>
  <c r="K482" i="19"/>
  <c r="K533" i="19"/>
  <c r="O564" i="19"/>
  <c r="O568" i="19"/>
  <c r="O601" i="19"/>
  <c r="K81" i="20"/>
  <c r="K88" i="20"/>
  <c r="K266" i="20"/>
  <c r="K328" i="20"/>
  <c r="N331" i="20"/>
  <c r="N329" i="20" s="1"/>
  <c r="K340" i="20"/>
  <c r="K430" i="20"/>
  <c r="K455" i="20"/>
  <c r="K474" i="20"/>
  <c r="O582" i="20"/>
  <c r="K632" i="20"/>
  <c r="K649" i="20"/>
  <c r="M43" i="21"/>
  <c r="M41" i="21" s="1"/>
  <c r="N55" i="21"/>
  <c r="N53" i="21" s="1"/>
  <c r="P254" i="21"/>
  <c r="L275" i="21"/>
  <c r="O275" i="21" s="1"/>
  <c r="O380" i="21"/>
  <c r="K429" i="21"/>
  <c r="O437" i="21"/>
  <c r="O555" i="21"/>
  <c r="O584" i="21"/>
  <c r="K623" i="21"/>
  <c r="K628" i="21"/>
  <c r="K369" i="1"/>
  <c r="I575" i="1"/>
  <c r="K575" i="1" s="1"/>
  <c r="I620" i="1"/>
  <c r="I648" i="1"/>
  <c r="L668" i="1"/>
  <c r="O668" i="1" s="1"/>
  <c r="K158" i="2"/>
  <c r="K626" i="2"/>
  <c r="K92" i="3"/>
  <c r="P98" i="3"/>
  <c r="L555" i="1"/>
  <c r="P122" i="2"/>
  <c r="K149" i="2"/>
  <c r="O337" i="2"/>
  <c r="K341" i="2"/>
  <c r="K349" i="2"/>
  <c r="O352" i="2"/>
  <c r="K397" i="2"/>
  <c r="O404" i="2"/>
  <c r="K430" i="2"/>
  <c r="K450" i="2"/>
  <c r="O552" i="2"/>
  <c r="O581" i="2"/>
  <c r="K594" i="2"/>
  <c r="K628" i="2"/>
  <c r="L70" i="3"/>
  <c r="O70" i="3" s="1"/>
  <c r="I631" i="1"/>
  <c r="K624" i="2"/>
  <c r="K621" i="2"/>
  <c r="K199" i="2"/>
  <c r="K235" i="2"/>
  <c r="O349" i="2"/>
  <c r="N33" i="2"/>
  <c r="N13" i="2" s="1"/>
  <c r="K370" i="2"/>
  <c r="K421" i="2"/>
  <c r="K425" i="2"/>
  <c r="K432" i="2"/>
  <c r="K564" i="2"/>
  <c r="K615" i="2"/>
  <c r="K618" i="2"/>
  <c r="N535" i="1"/>
  <c r="L23" i="2"/>
  <c r="O23" i="2" s="1"/>
  <c r="K266" i="2"/>
  <c r="P294" i="2"/>
  <c r="K625" i="2"/>
  <c r="K533" i="1"/>
  <c r="N564" i="1"/>
  <c r="L57" i="2"/>
  <c r="O57" i="2" s="1"/>
  <c r="N68" i="2"/>
  <c r="N66" i="2" s="1"/>
  <c r="K117" i="2"/>
  <c r="K189" i="2"/>
  <c r="K200" i="2"/>
  <c r="K289" i="2"/>
  <c r="N292" i="2"/>
  <c r="P292" i="2" s="1"/>
  <c r="K340" i="2"/>
  <c r="K375" i="2"/>
  <c r="K380" i="2"/>
  <c r="K429" i="2"/>
  <c r="K449" i="2"/>
  <c r="J85" i="1"/>
  <c r="N68" i="3"/>
  <c r="N66" i="3" s="1"/>
  <c r="J105" i="1"/>
  <c r="L122" i="3"/>
  <c r="L120" i="3" s="1"/>
  <c r="K158" i="3"/>
  <c r="K200" i="3"/>
  <c r="L275" i="3"/>
  <c r="O275" i="3" s="1"/>
  <c r="L333" i="3"/>
  <c r="O333" i="3" s="1"/>
  <c r="K343" i="3"/>
  <c r="L354" i="1"/>
  <c r="O354" i="1" s="1"/>
  <c r="K380" i="3"/>
  <c r="K401" i="3"/>
  <c r="K423" i="3"/>
  <c r="K427" i="3"/>
  <c r="K430" i="3"/>
  <c r="K435" i="3"/>
  <c r="K450" i="3"/>
  <c r="N462" i="1"/>
  <c r="K497" i="3"/>
  <c r="O597" i="3"/>
  <c r="K616" i="3"/>
  <c r="K619" i="3"/>
  <c r="K632" i="3"/>
  <c r="N644" i="3"/>
  <c r="N640" i="3" s="1"/>
  <c r="N638" i="3" s="1"/>
  <c r="N636" i="3" s="1"/>
  <c r="L57" i="4"/>
  <c r="L55" i="4" s="1"/>
  <c r="N68" i="4"/>
  <c r="N66" i="4" s="1"/>
  <c r="L98" i="4"/>
  <c r="O98" i="4" s="1"/>
  <c r="N142" i="4"/>
  <c r="N140" i="4" s="1"/>
  <c r="K158" i="4"/>
  <c r="K229" i="4"/>
  <c r="K345" i="4"/>
  <c r="O383" i="4"/>
  <c r="K464" i="4"/>
  <c r="K597" i="4"/>
  <c r="K630" i="4"/>
  <c r="J667" i="1"/>
  <c r="K65" i="5"/>
  <c r="K189" i="5"/>
  <c r="K200" i="5"/>
  <c r="M22" i="5"/>
  <c r="M12" i="5" s="1"/>
  <c r="K264" i="5"/>
  <c r="K421" i="5"/>
  <c r="K425" i="5"/>
  <c r="K432" i="5"/>
  <c r="O455" i="5"/>
  <c r="K464" i="5"/>
  <c r="K547" i="5"/>
  <c r="O564" i="5"/>
  <c r="K631" i="5"/>
  <c r="K111" i="6"/>
  <c r="L144" i="6"/>
  <c r="L142" i="6" s="1"/>
  <c r="K199" i="6"/>
  <c r="K110" i="3"/>
  <c r="J185" i="1"/>
  <c r="N298" i="1"/>
  <c r="N34" i="3"/>
  <c r="N14" i="3" s="1"/>
  <c r="K455" i="3"/>
  <c r="K474" i="3"/>
  <c r="O648" i="3"/>
  <c r="P224" i="4"/>
  <c r="O404" i="4"/>
  <c r="K423" i="4"/>
  <c r="K426" i="4"/>
  <c r="K449" i="4"/>
  <c r="K465" i="4"/>
  <c r="K482" i="4"/>
  <c r="J623" i="1"/>
  <c r="J626" i="1"/>
  <c r="O649" i="4"/>
  <c r="P45" i="5"/>
  <c r="P57" i="5"/>
  <c r="P314" i="5"/>
  <c r="K341" i="5"/>
  <c r="K349" i="5"/>
  <c r="O352" i="5"/>
  <c r="K377" i="5"/>
  <c r="K381" i="5"/>
  <c r="K398" i="5"/>
  <c r="K418" i="5"/>
  <c r="K429" i="5"/>
  <c r="O535" i="5"/>
  <c r="N599" i="1"/>
  <c r="K173" i="6"/>
  <c r="J170" i="1"/>
  <c r="J241" i="1"/>
  <c r="N31" i="3"/>
  <c r="N29" i="3" s="1"/>
  <c r="K614" i="3"/>
  <c r="K617" i="3"/>
  <c r="L24" i="4"/>
  <c r="O24" i="4" s="1"/>
  <c r="J472" i="1"/>
  <c r="J499" i="1"/>
  <c r="N540" i="1"/>
  <c r="J594" i="1"/>
  <c r="J608" i="1"/>
  <c r="I613" i="1"/>
  <c r="K265" i="5"/>
  <c r="N568" i="1"/>
  <c r="N584" i="1"/>
  <c r="O648" i="5"/>
  <c r="L640" i="5"/>
  <c r="L638" i="5" s="1"/>
  <c r="K632" i="2"/>
  <c r="K93" i="3"/>
  <c r="L98" i="3"/>
  <c r="O98" i="3" s="1"/>
  <c r="K111" i="3"/>
  <c r="J160" i="1"/>
  <c r="J324" i="1"/>
  <c r="K341" i="3"/>
  <c r="K345" i="3"/>
  <c r="K372" i="3"/>
  <c r="K424" i="3"/>
  <c r="O435" i="3"/>
  <c r="K573" i="3"/>
  <c r="K593" i="3"/>
  <c r="O599" i="3"/>
  <c r="P144" i="4"/>
  <c r="P275" i="4"/>
  <c r="L294" i="4"/>
  <c r="O294" i="4" s="1"/>
  <c r="K328" i="4"/>
  <c r="K340" i="4"/>
  <c r="O401" i="4"/>
  <c r="J420" i="1"/>
  <c r="K420" i="1" s="1"/>
  <c r="K427" i="4"/>
  <c r="K435" i="4"/>
  <c r="O437" i="4"/>
  <c r="N456" i="1"/>
  <c r="K466" i="4"/>
  <c r="K533" i="4"/>
  <c r="O601" i="4"/>
  <c r="K628" i="4"/>
  <c r="K635" i="4"/>
  <c r="J651" i="4"/>
  <c r="L70" i="5"/>
  <c r="L68" i="5" s="1"/>
  <c r="L66" i="5" s="1"/>
  <c r="K80" i="5"/>
  <c r="K93" i="5"/>
  <c r="K158" i="5"/>
  <c r="K266" i="5"/>
  <c r="O349" i="5"/>
  <c r="K430" i="5"/>
  <c r="K497" i="5"/>
  <c r="K533" i="5"/>
  <c r="N31" i="5"/>
  <c r="N11" i="5" s="1"/>
  <c r="N9" i="5" s="1"/>
  <c r="K597" i="5"/>
  <c r="K623" i="5"/>
  <c r="K621" i="5"/>
  <c r="L24" i="6"/>
  <c r="O24" i="6" s="1"/>
  <c r="J117" i="1"/>
  <c r="J154" i="1"/>
  <c r="O352" i="3"/>
  <c r="K377" i="3"/>
  <c r="K381" i="3"/>
  <c r="K398" i="3"/>
  <c r="K402" i="3"/>
  <c r="K418" i="3"/>
  <c r="K425" i="3"/>
  <c r="K465" i="3"/>
  <c r="K482" i="3"/>
  <c r="O580" i="3"/>
  <c r="O584" i="3"/>
  <c r="K611" i="3"/>
  <c r="K630" i="3"/>
  <c r="K634" i="3"/>
  <c r="O651" i="3"/>
  <c r="K665" i="3"/>
  <c r="N22" i="4"/>
  <c r="M68" i="4"/>
  <c r="P68" i="4" s="1"/>
  <c r="O347" i="4"/>
  <c r="K381" i="4"/>
  <c r="J392" i="1"/>
  <c r="K421" i="4"/>
  <c r="K473" i="4"/>
  <c r="O566" i="4"/>
  <c r="J671" i="4"/>
  <c r="N22" i="5"/>
  <c r="K109" i="5"/>
  <c r="K113" i="5"/>
  <c r="L122" i="5"/>
  <c r="K149" i="5"/>
  <c r="K176" i="5"/>
  <c r="K186" i="5"/>
  <c r="K235" i="5"/>
  <c r="K249" i="5"/>
  <c r="N33" i="5"/>
  <c r="N13" i="5" s="1"/>
  <c r="K450" i="5"/>
  <c r="O457" i="5"/>
  <c r="K473" i="5"/>
  <c r="O597" i="5"/>
  <c r="O102" i="6"/>
  <c r="M102" i="6"/>
  <c r="P102" i="6" s="1"/>
  <c r="K109" i="6"/>
  <c r="L26" i="3"/>
  <c r="L16" i="3" s="1"/>
  <c r="N142" i="3"/>
  <c r="N140" i="3" s="1"/>
  <c r="N312" i="3"/>
  <c r="N310" i="3" s="1"/>
  <c r="N33" i="3"/>
  <c r="N13" i="3" s="1"/>
  <c r="K615" i="3"/>
  <c r="K618" i="3"/>
  <c r="K618" i="4"/>
  <c r="N644" i="4"/>
  <c r="N640" i="4" s="1"/>
  <c r="N638" i="4" s="1"/>
  <c r="N636" i="4" s="1"/>
  <c r="N26" i="5"/>
  <c r="N16" i="5" s="1"/>
  <c r="N292" i="5"/>
  <c r="N290" i="5" s="1"/>
  <c r="K649" i="2"/>
  <c r="K65" i="3"/>
  <c r="N120" i="3"/>
  <c r="N118" i="3" s="1"/>
  <c r="L144" i="3"/>
  <c r="O144" i="3" s="1"/>
  <c r="K270" i="3"/>
  <c r="P275" i="3"/>
  <c r="I367" i="3"/>
  <c r="K367" i="3" s="1"/>
  <c r="K370" i="3"/>
  <c r="O385" i="3"/>
  <c r="O406" i="3"/>
  <c r="K419" i="3"/>
  <c r="K422" i="3"/>
  <c r="K426" i="3"/>
  <c r="O437" i="3"/>
  <c r="K466" i="3"/>
  <c r="K650" i="3"/>
  <c r="P57" i="4"/>
  <c r="K132" i="4"/>
  <c r="L144" i="4"/>
  <c r="O144" i="4" s="1"/>
  <c r="K199" i="4"/>
  <c r="J242" i="1"/>
  <c r="K285" i="4"/>
  <c r="O406" i="4"/>
  <c r="K474" i="4"/>
  <c r="O537" i="4"/>
  <c r="K85" i="5"/>
  <c r="L98" i="5"/>
  <c r="K110" i="5"/>
  <c r="K199" i="5"/>
  <c r="K229" i="5"/>
  <c r="L275" i="5"/>
  <c r="P333" i="5"/>
  <c r="K343" i="5"/>
  <c r="K350" i="5"/>
  <c r="O404" i="5"/>
  <c r="K424" i="5"/>
  <c r="O435" i="5"/>
  <c r="K498" i="5"/>
  <c r="O537" i="5"/>
  <c r="K564" i="5"/>
  <c r="O649" i="5"/>
  <c r="K92" i="6"/>
  <c r="K219" i="6"/>
  <c r="N26" i="7"/>
  <c r="N16" i="7" s="1"/>
  <c r="P294" i="7"/>
  <c r="K615" i="7"/>
  <c r="K624" i="7"/>
  <c r="N142" i="8"/>
  <c r="N140" i="8" s="1"/>
  <c r="P140" i="8" s="1"/>
  <c r="N222" i="8"/>
  <c r="N220" i="8" s="1"/>
  <c r="P314" i="8"/>
  <c r="N331" i="8"/>
  <c r="N329" i="8" s="1"/>
  <c r="N33" i="8"/>
  <c r="N13" i="8" s="1"/>
  <c r="K113" i="6"/>
  <c r="N292" i="6"/>
  <c r="N290" i="6" s="1"/>
  <c r="K420" i="6"/>
  <c r="K424" i="6"/>
  <c r="O555" i="6"/>
  <c r="K618" i="6"/>
  <c r="K621" i="6"/>
  <c r="K624" i="6"/>
  <c r="K635" i="6"/>
  <c r="N644" i="6"/>
  <c r="N640" i="6" s="1"/>
  <c r="N638" i="6" s="1"/>
  <c r="N636" i="6" s="1"/>
  <c r="O49" i="7"/>
  <c r="M68" i="7"/>
  <c r="P68" i="7" s="1"/>
  <c r="P144" i="7"/>
  <c r="N312" i="7"/>
  <c r="N310" i="7" s="1"/>
  <c r="O347" i="7"/>
  <c r="N31" i="7"/>
  <c r="N29" i="7" s="1"/>
  <c r="J651" i="7"/>
  <c r="N55" i="8"/>
  <c r="N53" i="8" s="1"/>
  <c r="P53" i="8" s="1"/>
  <c r="N96" i="8"/>
  <c r="N94" i="8" s="1"/>
  <c r="K200" i="8"/>
  <c r="L314" i="8"/>
  <c r="O314" i="8" s="1"/>
  <c r="O347" i="8"/>
  <c r="O435" i="8"/>
  <c r="N13" i="9"/>
  <c r="P144" i="9"/>
  <c r="K173" i="9"/>
  <c r="L32" i="6"/>
  <c r="L30" i="6" s="1"/>
  <c r="K93" i="6"/>
  <c r="K110" i="6"/>
  <c r="K138" i="6"/>
  <c r="N31" i="6"/>
  <c r="N29" i="6" s="1"/>
  <c r="K421" i="6"/>
  <c r="K431" i="6"/>
  <c r="O435" i="6"/>
  <c r="K455" i="6"/>
  <c r="K615" i="6"/>
  <c r="M49" i="7"/>
  <c r="P49" i="7" s="1"/>
  <c r="L144" i="7"/>
  <c r="K219" i="7"/>
  <c r="K229" i="7"/>
  <c r="L314" i="7"/>
  <c r="O314" i="7" s="1"/>
  <c r="O354" i="7"/>
  <c r="K368" i="7"/>
  <c r="K375" i="7"/>
  <c r="K381" i="7"/>
  <c r="K466" i="7"/>
  <c r="O553" i="7"/>
  <c r="K612" i="7"/>
  <c r="K633" i="7"/>
  <c r="P45" i="8"/>
  <c r="L98" i="8"/>
  <c r="O98" i="8" s="1"/>
  <c r="K117" i="8"/>
  <c r="L122" i="8"/>
  <c r="O122" i="8" s="1"/>
  <c r="K185" i="8"/>
  <c r="M252" i="8"/>
  <c r="M250" i="8" s="1"/>
  <c r="M273" i="8"/>
  <c r="P273" i="8" s="1"/>
  <c r="N292" i="8"/>
  <c r="N290" i="8" s="1"/>
  <c r="K341" i="8"/>
  <c r="O354" i="8"/>
  <c r="K368" i="8"/>
  <c r="K375" i="8"/>
  <c r="K381" i="8"/>
  <c r="O404" i="8"/>
  <c r="K416" i="8"/>
  <c r="K429" i="8"/>
  <c r="K432" i="8"/>
  <c r="K466" i="8"/>
  <c r="K482" i="8"/>
  <c r="K498" i="8"/>
  <c r="O533" i="8"/>
  <c r="K631" i="8"/>
  <c r="O102" i="9"/>
  <c r="L144" i="9"/>
  <c r="O144" i="9" s="1"/>
  <c r="K270" i="9"/>
  <c r="M273" i="9"/>
  <c r="M271" i="9" s="1"/>
  <c r="P275" i="9"/>
  <c r="L224" i="6"/>
  <c r="K265" i="6"/>
  <c r="K270" i="6"/>
  <c r="K396" i="6"/>
  <c r="K418" i="6"/>
  <c r="K473" i="6"/>
  <c r="O537" i="6"/>
  <c r="O566" i="6"/>
  <c r="J579" i="1"/>
  <c r="O582" i="6"/>
  <c r="K633" i="6"/>
  <c r="O665" i="6"/>
  <c r="N43" i="7"/>
  <c r="N41" i="7" s="1"/>
  <c r="K372" i="7"/>
  <c r="O385" i="7"/>
  <c r="K423" i="7"/>
  <c r="K435" i="7"/>
  <c r="K499" i="7"/>
  <c r="N34" i="7"/>
  <c r="N14" i="7" s="1"/>
  <c r="O601" i="7"/>
  <c r="K616" i="7"/>
  <c r="K619" i="7"/>
  <c r="K625" i="7"/>
  <c r="O337" i="8"/>
  <c r="M252" i="9"/>
  <c r="P252" i="9" s="1"/>
  <c r="J515" i="1"/>
  <c r="I519" i="1"/>
  <c r="I523" i="1"/>
  <c r="I527" i="1"/>
  <c r="I531" i="1"/>
  <c r="N533" i="1"/>
  <c r="K564" i="6"/>
  <c r="O597" i="6"/>
  <c r="K625" i="6"/>
  <c r="K173" i="7"/>
  <c r="O337" i="7"/>
  <c r="N33" i="7"/>
  <c r="N13" i="7" s="1"/>
  <c r="K427" i="7"/>
  <c r="K455" i="7"/>
  <c r="K547" i="7"/>
  <c r="K630" i="7"/>
  <c r="K634" i="7"/>
  <c r="P70" i="8"/>
  <c r="K82" i="8"/>
  <c r="K176" i="8"/>
  <c r="K235" i="8"/>
  <c r="K249" i="8"/>
  <c r="M337" i="8"/>
  <c r="P337" i="8" s="1"/>
  <c r="O455" i="8"/>
  <c r="K499" i="8"/>
  <c r="M292" i="6"/>
  <c r="M290" i="6" s="1"/>
  <c r="K499" i="6"/>
  <c r="K189" i="7"/>
  <c r="K200" i="7"/>
  <c r="L254" i="7"/>
  <c r="P337" i="7"/>
  <c r="K464" i="7"/>
  <c r="K573" i="7"/>
  <c r="K589" i="7"/>
  <c r="L144" i="8"/>
  <c r="L142" i="8" s="1"/>
  <c r="K270" i="8"/>
  <c r="O349" i="8"/>
  <c r="K449" i="8"/>
  <c r="N31" i="8"/>
  <c r="N29" i="8" s="1"/>
  <c r="K83" i="9"/>
  <c r="K92" i="9"/>
  <c r="K110" i="9"/>
  <c r="K113" i="9"/>
  <c r="L224" i="9"/>
  <c r="P122" i="7"/>
  <c r="K617" i="7"/>
  <c r="K164" i="6"/>
  <c r="K200" i="6"/>
  <c r="K235" i="6"/>
  <c r="K267" i="6"/>
  <c r="O401" i="6"/>
  <c r="O404" i="6"/>
  <c r="K423" i="6"/>
  <c r="O437" i="6"/>
  <c r="K449" i="6"/>
  <c r="O459" i="6"/>
  <c r="K465" i="6"/>
  <c r="K481" i="6"/>
  <c r="K497" i="6"/>
  <c r="O551" i="6"/>
  <c r="O601" i="6"/>
  <c r="K626" i="6"/>
  <c r="P102" i="7"/>
  <c r="K109" i="7"/>
  <c r="L122" i="7"/>
  <c r="L120" i="7" s="1"/>
  <c r="O120" i="7" s="1"/>
  <c r="L275" i="7"/>
  <c r="L273" i="7" s="1"/>
  <c r="O273" i="7" s="1"/>
  <c r="K370" i="7"/>
  <c r="K397" i="7"/>
  <c r="K432" i="7"/>
  <c r="O439" i="7"/>
  <c r="K611" i="7"/>
  <c r="K199" i="8"/>
  <c r="P333" i="8"/>
  <c r="K343" i="8"/>
  <c r="K593" i="8"/>
  <c r="K618" i="8"/>
  <c r="K616" i="8"/>
  <c r="L23" i="9"/>
  <c r="O23" i="9" s="1"/>
  <c r="L34" i="9"/>
  <c r="L45" i="9"/>
  <c r="L43" i="9" s="1"/>
  <c r="P98" i="9"/>
  <c r="N252" i="9"/>
  <c r="N250" i="9" s="1"/>
  <c r="N292" i="9"/>
  <c r="N290" i="9" s="1"/>
  <c r="N26" i="9"/>
  <c r="N16" i="9" s="1"/>
  <c r="K380" i="9"/>
  <c r="K429" i="9"/>
  <c r="N68" i="10"/>
  <c r="N66" i="10" s="1"/>
  <c r="P66" i="10" s="1"/>
  <c r="K80" i="10"/>
  <c r="O102" i="10"/>
  <c r="K108" i="10"/>
  <c r="N222" i="10"/>
  <c r="P222" i="10" s="1"/>
  <c r="N33" i="10"/>
  <c r="N13" i="10" s="1"/>
  <c r="K397" i="10"/>
  <c r="K427" i="10"/>
  <c r="K628" i="10"/>
  <c r="M55" i="11"/>
  <c r="P55" i="11" s="1"/>
  <c r="N252" i="11"/>
  <c r="N250" i="11" s="1"/>
  <c r="O665" i="8"/>
  <c r="K64" i="9"/>
  <c r="K81" i="9"/>
  <c r="K108" i="9"/>
  <c r="K149" i="9"/>
  <c r="K200" i="9"/>
  <c r="K345" i="9"/>
  <c r="K423" i="9"/>
  <c r="K430" i="9"/>
  <c r="K435" i="9"/>
  <c r="K547" i="9"/>
  <c r="K614" i="9"/>
  <c r="K624" i="9"/>
  <c r="K628" i="9"/>
  <c r="N22" i="10"/>
  <c r="K81" i="10"/>
  <c r="K219" i="10"/>
  <c r="P275" i="10"/>
  <c r="K368" i="10"/>
  <c r="K398" i="10"/>
  <c r="K417" i="10"/>
  <c r="K428" i="10"/>
  <c r="O437" i="10"/>
  <c r="O568" i="10"/>
  <c r="K595" i="10"/>
  <c r="J671" i="10"/>
  <c r="K88" i="11"/>
  <c r="K428" i="11"/>
  <c r="O404" i="9"/>
  <c r="K564" i="9"/>
  <c r="K573" i="9"/>
  <c r="K597" i="9"/>
  <c r="K629" i="9"/>
  <c r="P98" i="10"/>
  <c r="K429" i="10"/>
  <c r="O459" i="10"/>
  <c r="K564" i="10"/>
  <c r="K189" i="11"/>
  <c r="P333" i="9"/>
  <c r="K377" i="9"/>
  <c r="K398" i="9"/>
  <c r="K418" i="9"/>
  <c r="O455" i="9"/>
  <c r="O597" i="9"/>
  <c r="N96" i="10"/>
  <c r="K109" i="11"/>
  <c r="K185" i="11"/>
  <c r="J671" i="9"/>
  <c r="P57" i="10"/>
  <c r="K186" i="10"/>
  <c r="K419" i="10"/>
  <c r="N26" i="11"/>
  <c r="N16" i="11" s="1"/>
  <c r="K158" i="11"/>
  <c r="L333" i="9"/>
  <c r="O347" i="9"/>
  <c r="K350" i="9"/>
  <c r="K631" i="9"/>
  <c r="L57" i="10"/>
  <c r="O57" i="10" s="1"/>
  <c r="K113" i="10"/>
  <c r="L314" i="10"/>
  <c r="O314" i="10" s="1"/>
  <c r="O352" i="10"/>
  <c r="K401" i="10"/>
  <c r="K420" i="10"/>
  <c r="O439" i="10"/>
  <c r="K466" i="10"/>
  <c r="K482" i="10"/>
  <c r="K547" i="10"/>
  <c r="K593" i="10"/>
  <c r="L640" i="10"/>
  <c r="O640" i="10" s="1"/>
  <c r="L70" i="11"/>
  <c r="L68" i="11" s="1"/>
  <c r="L66" i="11" s="1"/>
  <c r="K80" i="11"/>
  <c r="K133" i="11"/>
  <c r="K435" i="11"/>
  <c r="L24" i="10"/>
  <c r="O24" i="10" s="1"/>
  <c r="N31" i="10"/>
  <c r="N29" i="10" s="1"/>
  <c r="K612" i="11"/>
  <c r="N644" i="11"/>
  <c r="N640" i="11" s="1"/>
  <c r="N638" i="11" s="1"/>
  <c r="N636" i="11" s="1"/>
  <c r="N26" i="13"/>
  <c r="N16" i="13" s="1"/>
  <c r="O49" i="15"/>
  <c r="N26" i="15"/>
  <c r="N16" i="15" s="1"/>
  <c r="K149" i="11"/>
  <c r="K176" i="11"/>
  <c r="P224" i="11"/>
  <c r="K285" i="11"/>
  <c r="L294" i="11"/>
  <c r="O352" i="11"/>
  <c r="K423" i="11"/>
  <c r="O439" i="11"/>
  <c r="K595" i="11"/>
  <c r="K615" i="11"/>
  <c r="K631" i="11"/>
  <c r="L98" i="12"/>
  <c r="N222" i="12"/>
  <c r="N220" i="12" s="1"/>
  <c r="L275" i="12"/>
  <c r="O275" i="12" s="1"/>
  <c r="K285" i="12"/>
  <c r="M312" i="12"/>
  <c r="P312" i="12" s="1"/>
  <c r="I367" i="12"/>
  <c r="K367" i="12" s="1"/>
  <c r="K398" i="12"/>
  <c r="K429" i="12"/>
  <c r="O584" i="12"/>
  <c r="K649" i="12"/>
  <c r="N34" i="13"/>
  <c r="N14" i="13" s="1"/>
  <c r="K108" i="13"/>
  <c r="K164" i="13"/>
  <c r="K235" i="13"/>
  <c r="L254" i="13"/>
  <c r="O254" i="13" s="1"/>
  <c r="M292" i="13"/>
  <c r="P292" i="13" s="1"/>
  <c r="K396" i="13"/>
  <c r="P314" i="17"/>
  <c r="M312" i="17"/>
  <c r="P312" i="17" s="1"/>
  <c r="K369" i="17"/>
  <c r="I367" i="17"/>
  <c r="K367" i="17" s="1"/>
  <c r="N26" i="20"/>
  <c r="N16" i="20" s="1"/>
  <c r="N96" i="20"/>
  <c r="N94" i="20" s="1"/>
  <c r="N222" i="11"/>
  <c r="N220" i="11" s="1"/>
  <c r="K343" i="11"/>
  <c r="K424" i="11"/>
  <c r="N33" i="11"/>
  <c r="N13" i="11" s="1"/>
  <c r="O580" i="11"/>
  <c r="K623" i="11"/>
  <c r="K626" i="11"/>
  <c r="O665" i="11"/>
  <c r="P45" i="12"/>
  <c r="P224" i="12"/>
  <c r="M271" i="12"/>
  <c r="P294" i="12"/>
  <c r="O102" i="13"/>
  <c r="N120" i="13"/>
  <c r="N118" i="13" s="1"/>
  <c r="K430" i="14"/>
  <c r="K427" i="15"/>
  <c r="K591" i="15"/>
  <c r="K328" i="11"/>
  <c r="O568" i="11"/>
  <c r="K613" i="11"/>
  <c r="L45" i="12"/>
  <c r="O45" i="12" s="1"/>
  <c r="M55" i="12"/>
  <c r="M53" i="12" s="1"/>
  <c r="K80" i="12"/>
  <c r="K200" i="12"/>
  <c r="L224" i="12"/>
  <c r="O224" i="12" s="1"/>
  <c r="K345" i="12"/>
  <c r="K430" i="12"/>
  <c r="K580" i="12"/>
  <c r="K597" i="12"/>
  <c r="K621" i="12"/>
  <c r="K624" i="12"/>
  <c r="O649" i="12"/>
  <c r="M22" i="13"/>
  <c r="M12" i="13" s="1"/>
  <c r="M102" i="13"/>
  <c r="P102" i="13" s="1"/>
  <c r="K112" i="13"/>
  <c r="K138" i="13"/>
  <c r="K200" i="13"/>
  <c r="K270" i="13"/>
  <c r="K418" i="13"/>
  <c r="N644" i="13"/>
  <c r="N640" i="13" s="1"/>
  <c r="N638" i="13" s="1"/>
  <c r="N636" i="13" s="1"/>
  <c r="L32" i="15"/>
  <c r="L30" i="15" s="1"/>
  <c r="K533" i="15"/>
  <c r="N32" i="16"/>
  <c r="N30" i="16" s="1"/>
  <c r="J651" i="10"/>
  <c r="K64" i="11"/>
  <c r="K81" i="11"/>
  <c r="K93" i="11"/>
  <c r="K113" i="11"/>
  <c r="L122" i="11"/>
  <c r="O122" i="11" s="1"/>
  <c r="L144" i="11"/>
  <c r="O144" i="11" s="1"/>
  <c r="K350" i="11"/>
  <c r="O406" i="11"/>
  <c r="O437" i="11"/>
  <c r="K450" i="11"/>
  <c r="K455" i="11"/>
  <c r="O584" i="11"/>
  <c r="K617" i="11"/>
  <c r="K624" i="11"/>
  <c r="J651" i="11"/>
  <c r="M22" i="12"/>
  <c r="M12" i="12" s="1"/>
  <c r="L26" i="12"/>
  <c r="L16" i="12" s="1"/>
  <c r="K65" i="12"/>
  <c r="M140" i="12"/>
  <c r="N252" i="12"/>
  <c r="N250" i="12" s="1"/>
  <c r="N33" i="12"/>
  <c r="N13" i="12" s="1"/>
  <c r="K370" i="12"/>
  <c r="K377" i="12"/>
  <c r="K401" i="12"/>
  <c r="O404" i="12"/>
  <c r="K427" i="12"/>
  <c r="K431" i="12"/>
  <c r="O437" i="12"/>
  <c r="K466" i="12"/>
  <c r="K547" i="12"/>
  <c r="K612" i="12"/>
  <c r="L45" i="13"/>
  <c r="O45" i="13" s="1"/>
  <c r="K92" i="13"/>
  <c r="L122" i="13"/>
  <c r="O122" i="13" s="1"/>
  <c r="P144" i="13"/>
  <c r="K186" i="13"/>
  <c r="K402" i="13"/>
  <c r="K419" i="13"/>
  <c r="K633" i="13"/>
  <c r="N34" i="14"/>
  <c r="N14" i="14" s="1"/>
  <c r="K465" i="14"/>
  <c r="P275" i="11"/>
  <c r="K341" i="11"/>
  <c r="K372" i="11"/>
  <c r="K376" i="11"/>
  <c r="K426" i="11"/>
  <c r="K429" i="11"/>
  <c r="M94" i="12"/>
  <c r="P94" i="12" s="1"/>
  <c r="L333" i="12"/>
  <c r="K421" i="12"/>
  <c r="K589" i="12"/>
  <c r="P98" i="13"/>
  <c r="K110" i="13"/>
  <c r="K285" i="13"/>
  <c r="O580" i="13"/>
  <c r="N32" i="18"/>
  <c r="N30" i="18" s="1"/>
  <c r="O352" i="18"/>
  <c r="K416" i="11"/>
  <c r="O455" i="11"/>
  <c r="K618" i="11"/>
  <c r="L57" i="12"/>
  <c r="O57" i="12" s="1"/>
  <c r="N96" i="12"/>
  <c r="N94" i="12" s="1"/>
  <c r="K235" i="12"/>
  <c r="K499" i="12"/>
  <c r="L23" i="13"/>
  <c r="L333" i="13"/>
  <c r="L331" i="13" s="1"/>
  <c r="L329" i="13" s="1"/>
  <c r="K466" i="13"/>
  <c r="O337" i="14"/>
  <c r="M337" i="14"/>
  <c r="M331" i="14" s="1"/>
  <c r="P331" i="14" s="1"/>
  <c r="L33" i="15"/>
  <c r="O33" i="15" s="1"/>
  <c r="O353" i="15"/>
  <c r="P333" i="13"/>
  <c r="K340" i="13"/>
  <c r="K375" i="13"/>
  <c r="K422" i="13"/>
  <c r="P144" i="14"/>
  <c r="N329" i="14"/>
  <c r="K474" i="14"/>
  <c r="K533" i="14"/>
  <c r="K593" i="14"/>
  <c r="K267" i="15"/>
  <c r="K341" i="15"/>
  <c r="O404" i="15"/>
  <c r="K449" i="15"/>
  <c r="O457" i="16"/>
  <c r="L32" i="16"/>
  <c r="M43" i="17"/>
  <c r="M41" i="17" s="1"/>
  <c r="P45" i="17"/>
  <c r="K343" i="17"/>
  <c r="N43" i="20"/>
  <c r="N41" i="20" s="1"/>
  <c r="N22" i="20"/>
  <c r="P333" i="21"/>
  <c r="L314" i="13"/>
  <c r="L312" i="13" s="1"/>
  <c r="K372" i="13"/>
  <c r="K426" i="13"/>
  <c r="O437" i="13"/>
  <c r="K499" i="13"/>
  <c r="K547" i="13"/>
  <c r="O551" i="13"/>
  <c r="O601" i="13"/>
  <c r="K84" i="14"/>
  <c r="K173" i="14"/>
  <c r="K189" i="14"/>
  <c r="K285" i="14"/>
  <c r="K381" i="14"/>
  <c r="K398" i="14"/>
  <c r="O533" i="14"/>
  <c r="K597" i="14"/>
  <c r="K633" i="14"/>
  <c r="K65" i="15"/>
  <c r="L144" i="15"/>
  <c r="L142" i="15" s="1"/>
  <c r="L140" i="15" s="1"/>
  <c r="K349" i="15"/>
  <c r="K424" i="15"/>
  <c r="K430" i="15"/>
  <c r="K455" i="15"/>
  <c r="O535" i="15"/>
  <c r="K564" i="15"/>
  <c r="O582" i="15"/>
  <c r="N250" i="16"/>
  <c r="K430" i="16"/>
  <c r="K450" i="16"/>
  <c r="K466" i="16"/>
  <c r="K110" i="17"/>
  <c r="K328" i="17"/>
  <c r="N31" i="17"/>
  <c r="K376" i="17"/>
  <c r="O380" i="17"/>
  <c r="O383" i="17"/>
  <c r="O568" i="17"/>
  <c r="L34" i="17"/>
  <c r="L34" i="18"/>
  <c r="I367" i="18"/>
  <c r="K367" i="18" s="1"/>
  <c r="K369" i="18"/>
  <c r="K631" i="19"/>
  <c r="L32" i="13"/>
  <c r="L30" i="13" s="1"/>
  <c r="K430" i="13"/>
  <c r="K482" i="13"/>
  <c r="O555" i="13"/>
  <c r="K614" i="13"/>
  <c r="K185" i="14"/>
  <c r="K368" i="14"/>
  <c r="K375" i="14"/>
  <c r="O406" i="14"/>
  <c r="K419" i="14"/>
  <c r="K498" i="14"/>
  <c r="O537" i="14"/>
  <c r="K580" i="14"/>
  <c r="O582" i="14"/>
  <c r="K616" i="14"/>
  <c r="M96" i="15"/>
  <c r="M94" i="15" s="1"/>
  <c r="K109" i="15"/>
  <c r="M120" i="15"/>
  <c r="P120" i="15" s="1"/>
  <c r="K164" i="15"/>
  <c r="N292" i="15"/>
  <c r="N290" i="15" s="1"/>
  <c r="O349" i="15"/>
  <c r="K370" i="15"/>
  <c r="O455" i="15"/>
  <c r="K573" i="15"/>
  <c r="K580" i="15"/>
  <c r="N644" i="15"/>
  <c r="N640" i="15" s="1"/>
  <c r="N638" i="15" s="1"/>
  <c r="N636" i="15" s="1"/>
  <c r="K597" i="16"/>
  <c r="N55" i="14"/>
  <c r="N53" i="14" s="1"/>
  <c r="N96" i="14"/>
  <c r="N94" i="14" s="1"/>
  <c r="N142" i="14"/>
  <c r="N140" i="14" s="1"/>
  <c r="N31" i="14"/>
  <c r="K626" i="14"/>
  <c r="K93" i="15"/>
  <c r="K110" i="15"/>
  <c r="K200" i="15"/>
  <c r="N273" i="15"/>
  <c r="N271" i="15" s="1"/>
  <c r="P333" i="15"/>
  <c r="K350" i="15"/>
  <c r="O406" i="15"/>
  <c r="K432" i="15"/>
  <c r="O537" i="15"/>
  <c r="K381" i="16"/>
  <c r="M22" i="17"/>
  <c r="M12" i="17" s="1"/>
  <c r="K229" i="17"/>
  <c r="O535" i="17"/>
  <c r="L275" i="18"/>
  <c r="O275" i="18" s="1"/>
  <c r="K634" i="13"/>
  <c r="J671" i="13"/>
  <c r="M120" i="14"/>
  <c r="P120" i="14" s="1"/>
  <c r="K158" i="14"/>
  <c r="N312" i="14"/>
  <c r="N310" i="14" s="1"/>
  <c r="K431" i="14"/>
  <c r="O435" i="14"/>
  <c r="K455" i="14"/>
  <c r="K466" i="14"/>
  <c r="M68" i="15"/>
  <c r="N252" i="15"/>
  <c r="N250" i="15" s="1"/>
  <c r="L275" i="15"/>
  <c r="O275" i="15" s="1"/>
  <c r="N331" i="15"/>
  <c r="N329" i="15" s="1"/>
  <c r="K368" i="15"/>
  <c r="K375" i="15"/>
  <c r="O439" i="15"/>
  <c r="K499" i="15"/>
  <c r="N34" i="16"/>
  <c r="N14" i="16" s="1"/>
  <c r="N33" i="17"/>
  <c r="N13" i="17" s="1"/>
  <c r="L31" i="17"/>
  <c r="L29" i="17" s="1"/>
  <c r="O552" i="17"/>
  <c r="O599" i="17"/>
  <c r="K616" i="17"/>
  <c r="K617" i="17"/>
  <c r="K619" i="17"/>
  <c r="K618" i="17"/>
  <c r="K611" i="17"/>
  <c r="K88" i="18"/>
  <c r="L31" i="18"/>
  <c r="O31" i="18" s="1"/>
  <c r="O403" i="18"/>
  <c r="K343" i="13"/>
  <c r="K398" i="13"/>
  <c r="K432" i="13"/>
  <c r="O459" i="13"/>
  <c r="O582" i="13"/>
  <c r="N68" i="14"/>
  <c r="K149" i="14"/>
  <c r="K229" i="14"/>
  <c r="K270" i="14"/>
  <c r="P314" i="14"/>
  <c r="O380" i="14"/>
  <c r="K417" i="14"/>
  <c r="K421" i="14"/>
  <c r="K432" i="14"/>
  <c r="O455" i="14"/>
  <c r="O599" i="14"/>
  <c r="K64" i="15"/>
  <c r="K111" i="15"/>
  <c r="K149" i="15"/>
  <c r="K216" i="15"/>
  <c r="K249" i="15"/>
  <c r="P254" i="15"/>
  <c r="L314" i="15"/>
  <c r="O314" i="15" s="1"/>
  <c r="O347" i="15"/>
  <c r="K372" i="15"/>
  <c r="K416" i="15"/>
  <c r="N34" i="15"/>
  <c r="N14" i="15" s="1"/>
  <c r="O459" i="15"/>
  <c r="K616" i="15"/>
  <c r="O347" i="16"/>
  <c r="K350" i="16"/>
  <c r="O566" i="16"/>
  <c r="L57" i="17"/>
  <c r="O57" i="17" s="1"/>
  <c r="L144" i="17"/>
  <c r="O144" i="17" s="1"/>
  <c r="P57" i="18"/>
  <c r="K396" i="18"/>
  <c r="O61" i="19"/>
  <c r="L26" i="19"/>
  <c r="L16" i="19" s="1"/>
  <c r="M120" i="20"/>
  <c r="M118" i="20" s="1"/>
  <c r="P122" i="20"/>
  <c r="K625" i="15"/>
  <c r="K149" i="16"/>
  <c r="M252" i="16"/>
  <c r="P252" i="16" s="1"/>
  <c r="L333" i="16"/>
  <c r="O333" i="16" s="1"/>
  <c r="K424" i="16"/>
  <c r="N33" i="16"/>
  <c r="N13" i="16" s="1"/>
  <c r="K630" i="16"/>
  <c r="K267" i="17"/>
  <c r="K350" i="17"/>
  <c r="K423" i="17"/>
  <c r="K435" i="17"/>
  <c r="L294" i="18"/>
  <c r="O294" i="18" s="1"/>
  <c r="N331" i="18"/>
  <c r="N329" i="18" s="1"/>
  <c r="M53" i="20"/>
  <c r="L31" i="21"/>
  <c r="O31" i="21" s="1"/>
  <c r="O382" i="21"/>
  <c r="O455" i="21"/>
  <c r="O553" i="21"/>
  <c r="L32" i="21"/>
  <c r="L30" i="21" s="1"/>
  <c r="P45" i="16"/>
  <c r="P144" i="16"/>
  <c r="P273" i="16"/>
  <c r="K368" i="16"/>
  <c r="O439" i="16"/>
  <c r="K455" i="16"/>
  <c r="K498" i="16"/>
  <c r="O564" i="16"/>
  <c r="K612" i="16"/>
  <c r="K634" i="16"/>
  <c r="K111" i="17"/>
  <c r="K117" i="17"/>
  <c r="N120" i="17"/>
  <c r="N118" i="17" s="1"/>
  <c r="N142" i="17"/>
  <c r="N140" i="17" s="1"/>
  <c r="K164" i="17"/>
  <c r="L224" i="17"/>
  <c r="O224" i="17" s="1"/>
  <c r="L314" i="17"/>
  <c r="O314" i="17" s="1"/>
  <c r="K341" i="17"/>
  <c r="K398" i="17"/>
  <c r="K497" i="17"/>
  <c r="K591" i="17"/>
  <c r="K630" i="17"/>
  <c r="O649" i="17"/>
  <c r="M22" i="18"/>
  <c r="M12" i="18" s="1"/>
  <c r="L144" i="18"/>
  <c r="O144" i="18" s="1"/>
  <c r="K173" i="18"/>
  <c r="K235" i="18"/>
  <c r="N252" i="18"/>
  <c r="N250" i="18" s="1"/>
  <c r="L314" i="18"/>
  <c r="O314" i="18" s="1"/>
  <c r="K370" i="18"/>
  <c r="K397" i="18"/>
  <c r="O404" i="18"/>
  <c r="K560" i="18"/>
  <c r="K595" i="18"/>
  <c r="N68" i="19"/>
  <c r="P68" i="19" s="1"/>
  <c r="K85" i="19"/>
  <c r="L254" i="19"/>
  <c r="O254" i="19" s="1"/>
  <c r="K397" i="19"/>
  <c r="K564" i="19"/>
  <c r="L70" i="20"/>
  <c r="L68" i="20" s="1"/>
  <c r="L66" i="20" s="1"/>
  <c r="K435" i="20"/>
  <c r="K616" i="21"/>
  <c r="K612" i="21"/>
  <c r="K618" i="21"/>
  <c r="N331" i="16"/>
  <c r="N329" i="16" s="1"/>
  <c r="N31" i="16"/>
  <c r="N29" i="16" s="1"/>
  <c r="L24" i="17"/>
  <c r="O24" i="17" s="1"/>
  <c r="N252" i="17"/>
  <c r="N250" i="17" s="1"/>
  <c r="N120" i="18"/>
  <c r="N118" i="18" s="1"/>
  <c r="M312" i="20"/>
  <c r="M310" i="20" s="1"/>
  <c r="P310" i="20" s="1"/>
  <c r="P314" i="20"/>
  <c r="L34" i="20"/>
  <c r="O385" i="20"/>
  <c r="K614" i="15"/>
  <c r="K617" i="15"/>
  <c r="K626" i="15"/>
  <c r="L23" i="16"/>
  <c r="O23" i="16" s="1"/>
  <c r="K375" i="16"/>
  <c r="K432" i="16"/>
  <c r="O455" i="16"/>
  <c r="N41" i="17"/>
  <c r="O102" i="17"/>
  <c r="N273" i="17"/>
  <c r="N271" i="17" s="1"/>
  <c r="K425" i="17"/>
  <c r="K464" i="17"/>
  <c r="K626" i="17"/>
  <c r="N26" i="18"/>
  <c r="N16" i="18" s="1"/>
  <c r="K83" i="18"/>
  <c r="P122" i="18"/>
  <c r="K219" i="18"/>
  <c r="N310" i="18"/>
  <c r="O347" i="18"/>
  <c r="K417" i="18"/>
  <c r="O648" i="18"/>
  <c r="L640" i="18"/>
  <c r="L638" i="18" s="1"/>
  <c r="N43" i="19"/>
  <c r="N41" i="19" s="1"/>
  <c r="L24" i="20"/>
  <c r="O24" i="20" s="1"/>
  <c r="K464" i="20"/>
  <c r="K597" i="15"/>
  <c r="K628" i="15"/>
  <c r="K173" i="16"/>
  <c r="L254" i="16"/>
  <c r="L252" i="16" s="1"/>
  <c r="O252" i="16" s="1"/>
  <c r="O352" i="16"/>
  <c r="K376" i="16"/>
  <c r="O380" i="16"/>
  <c r="K396" i="16"/>
  <c r="K465" i="16"/>
  <c r="K617" i="16"/>
  <c r="M102" i="17"/>
  <c r="P102" i="17" s="1"/>
  <c r="P144" i="17"/>
  <c r="L275" i="17"/>
  <c r="L273" i="17" s="1"/>
  <c r="O273" i="17" s="1"/>
  <c r="O352" i="17"/>
  <c r="K380" i="17"/>
  <c r="K200" i="18"/>
  <c r="N273" i="18"/>
  <c r="N271" i="18" s="1"/>
  <c r="P337" i="18"/>
  <c r="K349" i="18"/>
  <c r="N33" i="18"/>
  <c r="N13" i="18" s="1"/>
  <c r="K589" i="18"/>
  <c r="K629" i="18"/>
  <c r="O337" i="19"/>
  <c r="K370" i="19"/>
  <c r="L31" i="20"/>
  <c r="L11" i="20" s="1"/>
  <c r="O552" i="20"/>
  <c r="O580" i="20"/>
  <c r="O649" i="20"/>
  <c r="L224" i="21"/>
  <c r="L222" i="21" s="1"/>
  <c r="L220" i="21" s="1"/>
  <c r="N55" i="16"/>
  <c r="N53" i="16" s="1"/>
  <c r="K219" i="16"/>
  <c r="N271" i="16"/>
  <c r="K285" i="16"/>
  <c r="K397" i="16"/>
  <c r="O401" i="16"/>
  <c r="O437" i="16"/>
  <c r="K481" i="16"/>
  <c r="O584" i="16"/>
  <c r="O599" i="16"/>
  <c r="K616" i="16"/>
  <c r="P49" i="17"/>
  <c r="K65" i="17"/>
  <c r="K85" i="17"/>
  <c r="K235" i="17"/>
  <c r="P254" i="17"/>
  <c r="K266" i="17"/>
  <c r="K401" i="17"/>
  <c r="K426" i="17"/>
  <c r="K465" i="17"/>
  <c r="K547" i="17"/>
  <c r="K573" i="17"/>
  <c r="K589" i="17"/>
  <c r="K632" i="17"/>
  <c r="K64" i="18"/>
  <c r="K341" i="18"/>
  <c r="K345" i="18"/>
  <c r="K418" i="18"/>
  <c r="K421" i="18"/>
  <c r="K428" i="18"/>
  <c r="O258" i="20"/>
  <c r="L26" i="20"/>
  <c r="L16" i="20" s="1"/>
  <c r="O353" i="20"/>
  <c r="L33" i="20"/>
  <c r="O33" i="20" s="1"/>
  <c r="K424" i="20"/>
  <c r="K449" i="20"/>
  <c r="L45" i="21"/>
  <c r="L23" i="21"/>
  <c r="O23" i="21" s="1"/>
  <c r="K343" i="21"/>
  <c r="K422" i="21"/>
  <c r="N32" i="21"/>
  <c r="N30" i="21" s="1"/>
  <c r="K625" i="18"/>
  <c r="L98" i="19"/>
  <c r="L314" i="19"/>
  <c r="O347" i="19"/>
  <c r="K350" i="19"/>
  <c r="K381" i="19"/>
  <c r="K417" i="19"/>
  <c r="K464" i="19"/>
  <c r="K613" i="19"/>
  <c r="K614" i="19"/>
  <c r="K628" i="19"/>
  <c r="N644" i="19"/>
  <c r="N640" i="19" s="1"/>
  <c r="N638" i="19" s="1"/>
  <c r="N636" i="19" s="1"/>
  <c r="K343" i="20"/>
  <c r="K402" i="20"/>
  <c r="K465" i="20"/>
  <c r="K158" i="21"/>
  <c r="K185" i="21"/>
  <c r="K368" i="21"/>
  <c r="K375" i="21"/>
  <c r="K401" i="21"/>
  <c r="J651" i="21"/>
  <c r="K429" i="18"/>
  <c r="K473" i="18"/>
  <c r="O599" i="18"/>
  <c r="K613" i="18"/>
  <c r="K185" i="19"/>
  <c r="M337" i="19"/>
  <c r="M26" i="19" s="1"/>
  <c r="M16" i="19" s="1"/>
  <c r="K368" i="19"/>
  <c r="K418" i="19"/>
  <c r="K611" i="19"/>
  <c r="K624" i="19"/>
  <c r="M22" i="20"/>
  <c r="M12" i="20" s="1"/>
  <c r="K176" i="20"/>
  <c r="P224" i="20"/>
  <c r="K270" i="20"/>
  <c r="L333" i="20"/>
  <c r="O333" i="20" s="1"/>
  <c r="K422" i="20"/>
  <c r="K425" i="20"/>
  <c r="N34" i="20"/>
  <c r="K615" i="21"/>
  <c r="K621" i="21"/>
  <c r="K624" i="21"/>
  <c r="L640" i="21"/>
  <c r="L638" i="21" s="1"/>
  <c r="K615" i="19"/>
  <c r="K618" i="19"/>
  <c r="K132" i="20"/>
  <c r="O144" i="20"/>
  <c r="K186" i="20"/>
  <c r="K349" i="20"/>
  <c r="K380" i="20"/>
  <c r="K372" i="21"/>
  <c r="N644" i="21"/>
  <c r="N640" i="21" s="1"/>
  <c r="N638" i="21" s="1"/>
  <c r="N636" i="21" s="1"/>
  <c r="K626" i="18"/>
  <c r="J651" i="18"/>
  <c r="N292" i="19"/>
  <c r="N290" i="19" s="1"/>
  <c r="K64" i="20"/>
  <c r="P254" i="20"/>
  <c r="K401" i="20"/>
  <c r="K466" i="20"/>
  <c r="O537" i="20"/>
  <c r="K629" i="20"/>
  <c r="O102" i="21"/>
  <c r="K649" i="21"/>
  <c r="O455" i="18"/>
  <c r="N96" i="19"/>
  <c r="N94" i="19" s="1"/>
  <c r="N312" i="19"/>
  <c r="N310" i="19" s="1"/>
  <c r="K396" i="19"/>
  <c r="O437" i="19"/>
  <c r="K612" i="19"/>
  <c r="K619" i="19"/>
  <c r="K630" i="19"/>
  <c r="N252" i="20"/>
  <c r="N250" i="20" s="1"/>
  <c r="K591" i="20"/>
  <c r="K421" i="21"/>
  <c r="K625" i="21"/>
  <c r="K449" i="18"/>
  <c r="O537" i="18"/>
  <c r="K580" i="18"/>
  <c r="O582" i="18"/>
  <c r="N252" i="19"/>
  <c r="N250" i="19" s="1"/>
  <c r="K420" i="19"/>
  <c r="K423" i="19"/>
  <c r="K427" i="19"/>
  <c r="K435" i="19"/>
  <c r="O457" i="19"/>
  <c r="K497" i="19"/>
  <c r="O533" i="19"/>
  <c r="O566" i="19"/>
  <c r="O597" i="19"/>
  <c r="K616" i="19"/>
  <c r="K634" i="19"/>
  <c r="P57" i="20"/>
  <c r="K65" i="20"/>
  <c r="K199" i="20"/>
  <c r="K235" i="20"/>
  <c r="L254" i="20"/>
  <c r="L252" i="20" s="1"/>
  <c r="L250" i="20" s="1"/>
  <c r="K264" i="20"/>
  <c r="L275" i="20"/>
  <c r="O275" i="20" s="1"/>
  <c r="N312" i="20"/>
  <c r="N310" i="20" s="1"/>
  <c r="K370" i="20"/>
  <c r="K397" i="20"/>
  <c r="K427" i="20"/>
  <c r="O535" i="20"/>
  <c r="K595" i="20"/>
  <c r="O661" i="20"/>
  <c r="P45" i="21"/>
  <c r="K173" i="21"/>
  <c r="K204" i="21"/>
  <c r="K425" i="21"/>
  <c r="O435" i="21"/>
  <c r="O582" i="21"/>
  <c r="K595" i="21"/>
  <c r="O601" i="21"/>
  <c r="O649" i="21"/>
  <c r="O25" i="1"/>
  <c r="L15" i="1"/>
  <c r="O15" i="1" s="1"/>
  <c r="P11" i="1"/>
  <c r="O54" i="1"/>
  <c r="M22" i="3"/>
  <c r="P45" i="3"/>
  <c r="M43" i="3"/>
  <c r="L251" i="1"/>
  <c r="O251" i="1" s="1"/>
  <c r="O251" i="3"/>
  <c r="P21" i="1"/>
  <c r="P23" i="1"/>
  <c r="L19" i="1"/>
  <c r="L42" i="1"/>
  <c r="P23" i="2"/>
  <c r="M13" i="2"/>
  <c r="P13" i="2" s="1"/>
  <c r="I345" i="1"/>
  <c r="K345" i="2"/>
  <c r="L401" i="1"/>
  <c r="O401" i="2"/>
  <c r="J423" i="1"/>
  <c r="K423" i="2"/>
  <c r="J435" i="1"/>
  <c r="K435" i="2"/>
  <c r="J455" i="1"/>
  <c r="K455" i="2"/>
  <c r="N565" i="1"/>
  <c r="N31" i="2"/>
  <c r="L23" i="3"/>
  <c r="N331" i="3"/>
  <c r="P19" i="4"/>
  <c r="M19" i="1"/>
  <c r="J235" i="1"/>
  <c r="K235" i="1" s="1"/>
  <c r="M57" i="1"/>
  <c r="P57" i="2"/>
  <c r="M55" i="2"/>
  <c r="M22" i="2"/>
  <c r="O98" i="2"/>
  <c r="L96" i="2"/>
  <c r="L353" i="1"/>
  <c r="L33" i="2"/>
  <c r="O33" i="2" s="1"/>
  <c r="O353" i="2"/>
  <c r="I398" i="1"/>
  <c r="K398" i="2"/>
  <c r="J431" i="1"/>
  <c r="K431" i="2"/>
  <c r="J451" i="1"/>
  <c r="K451" i="2"/>
  <c r="I577" i="1"/>
  <c r="K577" i="1" s="1"/>
  <c r="K577" i="2"/>
  <c r="I633" i="1"/>
  <c r="K633" i="1" s="1"/>
  <c r="K633" i="2"/>
  <c r="I651" i="1"/>
  <c r="K651" i="2"/>
  <c r="M119" i="1"/>
  <c r="P119" i="1" s="1"/>
  <c r="P119" i="3"/>
  <c r="I229" i="1"/>
  <c r="K229" i="3"/>
  <c r="I592" i="1"/>
  <c r="K592" i="1" s="1"/>
  <c r="K592" i="2"/>
  <c r="N661" i="1"/>
  <c r="N644" i="2"/>
  <c r="N640" i="2" s="1"/>
  <c r="N638" i="2" s="1"/>
  <c r="N636" i="2" s="1"/>
  <c r="M45" i="1"/>
  <c r="L438" i="1"/>
  <c r="O438" i="1" s="1"/>
  <c r="O19" i="2"/>
  <c r="N254" i="1"/>
  <c r="P254" i="2"/>
  <c r="N252" i="2"/>
  <c r="P252" i="2" s="1"/>
  <c r="I418" i="1"/>
  <c r="K418" i="2"/>
  <c r="I465" i="1"/>
  <c r="K465" i="2"/>
  <c r="I481" i="1"/>
  <c r="K481" i="2"/>
  <c r="I497" i="1"/>
  <c r="K497" i="2"/>
  <c r="I513" i="1"/>
  <c r="K513" i="1" s="1"/>
  <c r="K513" i="2"/>
  <c r="L599" i="1"/>
  <c r="O599" i="2"/>
  <c r="N61" i="1"/>
  <c r="N26" i="3"/>
  <c r="N16" i="3" s="1"/>
  <c r="O141" i="3"/>
  <c r="N32" i="3"/>
  <c r="O566" i="3"/>
  <c r="I377" i="1"/>
  <c r="K377" i="2"/>
  <c r="J112" i="1"/>
  <c r="K112" i="3"/>
  <c r="P25" i="1"/>
  <c r="M15" i="1"/>
  <c r="P15" i="1" s="1"/>
  <c r="P29" i="1"/>
  <c r="P54" i="1"/>
  <c r="I138" i="1"/>
  <c r="P19" i="2"/>
  <c r="P70" i="2"/>
  <c r="M68" i="2"/>
  <c r="N96" i="2"/>
  <c r="N221" i="1"/>
  <c r="O291" i="2"/>
  <c r="L295" i="1"/>
  <c r="L294" i="2"/>
  <c r="L551" i="1"/>
  <c r="O551" i="2"/>
  <c r="J589" i="1"/>
  <c r="K589" i="2"/>
  <c r="J189" i="1"/>
  <c r="K189" i="3"/>
  <c r="L318" i="1"/>
  <c r="O318" i="1" s="1"/>
  <c r="O318" i="3"/>
  <c r="N597" i="1"/>
  <c r="M30" i="2"/>
  <c r="P30" i="2" s="1"/>
  <c r="P32" i="2"/>
  <c r="M271" i="2"/>
  <c r="P330" i="2"/>
  <c r="J350" i="1"/>
  <c r="K350" i="2"/>
  <c r="N385" i="1"/>
  <c r="N34" i="2"/>
  <c r="N14" i="2" s="1"/>
  <c r="O385" i="2"/>
  <c r="I426" i="1"/>
  <c r="K426" i="2"/>
  <c r="L437" i="1"/>
  <c r="O437" i="2"/>
  <c r="L457" i="1"/>
  <c r="O457" i="2"/>
  <c r="J573" i="1"/>
  <c r="K573" i="2"/>
  <c r="L584" i="1"/>
  <c r="O584" i="2"/>
  <c r="J630" i="1"/>
  <c r="K630" i="2"/>
  <c r="L649" i="1"/>
  <c r="O649" i="2"/>
  <c r="L640" i="2"/>
  <c r="N19" i="3"/>
  <c r="P224" i="3"/>
  <c r="N222" i="3"/>
  <c r="N292" i="3"/>
  <c r="P337" i="3"/>
  <c r="O337" i="3"/>
  <c r="L33" i="3"/>
  <c r="O33" i="3" s="1"/>
  <c r="O354" i="3"/>
  <c r="L34" i="3"/>
  <c r="I427" i="1"/>
  <c r="I514" i="1"/>
  <c r="K514" i="1" s="1"/>
  <c r="P144" i="2"/>
  <c r="N142" i="2"/>
  <c r="P142" i="2" s="1"/>
  <c r="N406" i="1"/>
  <c r="O406" i="2"/>
  <c r="L568" i="1"/>
  <c r="O568" i="2"/>
  <c r="L34" i="2"/>
  <c r="J597" i="1"/>
  <c r="K597" i="2"/>
  <c r="I176" i="1"/>
  <c r="K176" i="3"/>
  <c r="P272" i="3"/>
  <c r="M271" i="3"/>
  <c r="I285" i="1"/>
  <c r="K285" i="3"/>
  <c r="P11" i="2"/>
  <c r="N22" i="2"/>
  <c r="N43" i="2"/>
  <c r="N41" i="2" s="1"/>
  <c r="P41" i="2" s="1"/>
  <c r="P45" i="2"/>
  <c r="J265" i="1"/>
  <c r="K265" i="2"/>
  <c r="L335" i="1"/>
  <c r="L333" i="2"/>
  <c r="L380" i="1"/>
  <c r="O380" i="2"/>
  <c r="I473" i="1"/>
  <c r="K473" i="2"/>
  <c r="I489" i="1"/>
  <c r="K489" i="1" s="1"/>
  <c r="K489" i="2"/>
  <c r="I505" i="1"/>
  <c r="K505" i="1" s="1"/>
  <c r="K505" i="2"/>
  <c r="P9" i="3"/>
  <c r="N55" i="3"/>
  <c r="N53" i="3" s="1"/>
  <c r="O95" i="3"/>
  <c r="L24" i="3"/>
  <c r="I249" i="1"/>
  <c r="K249" i="3"/>
  <c r="P333" i="3"/>
  <c r="M331" i="3"/>
  <c r="P294" i="4"/>
  <c r="M292" i="4"/>
  <c r="L19" i="5"/>
  <c r="O21" i="5"/>
  <c r="P24" i="5"/>
  <c r="M14" i="5"/>
  <c r="P14" i="5" s="1"/>
  <c r="P254" i="5"/>
  <c r="N252" i="5"/>
  <c r="N250" i="5" s="1"/>
  <c r="O311" i="5"/>
  <c r="M19" i="6"/>
  <c r="P21" i="6"/>
  <c r="M11" i="6"/>
  <c r="M22" i="7"/>
  <c r="P224" i="7"/>
  <c r="M222" i="7"/>
  <c r="K613" i="2"/>
  <c r="K622" i="3"/>
  <c r="O385" i="4"/>
  <c r="L34" i="4"/>
  <c r="O254" i="5"/>
  <c r="N32" i="5"/>
  <c r="N30" i="5" s="1"/>
  <c r="N19" i="6"/>
  <c r="O95" i="6"/>
  <c r="O533" i="6"/>
  <c r="M13" i="7"/>
  <c r="P13" i="7" s="1"/>
  <c r="P33" i="7"/>
  <c r="O566" i="9"/>
  <c r="L32" i="9"/>
  <c r="L31" i="2"/>
  <c r="M337" i="2"/>
  <c r="K616" i="2"/>
  <c r="K625" i="3"/>
  <c r="L19" i="4"/>
  <c r="M22" i="4"/>
  <c r="P251" i="4"/>
  <c r="L31" i="4"/>
  <c r="L11" i="4" s="1"/>
  <c r="O382" i="4"/>
  <c r="L33" i="4"/>
  <c r="O33" i="4" s="1"/>
  <c r="O536" i="4"/>
  <c r="O383" i="5"/>
  <c r="L32" i="5"/>
  <c r="P24" i="7"/>
  <c r="M14" i="7"/>
  <c r="P14" i="7" s="1"/>
  <c r="K369" i="7"/>
  <c r="I367" i="7"/>
  <c r="K367" i="7" s="1"/>
  <c r="M96" i="2"/>
  <c r="I367" i="2"/>
  <c r="K367" i="2" s="1"/>
  <c r="K611" i="2"/>
  <c r="K619" i="2"/>
  <c r="L31" i="3"/>
  <c r="M68" i="3"/>
  <c r="M102" i="3"/>
  <c r="M96" i="3" s="1"/>
  <c r="M292" i="3"/>
  <c r="O384" i="3"/>
  <c r="K612" i="3"/>
  <c r="K620" i="3"/>
  <c r="P11" i="4"/>
  <c r="L15" i="4"/>
  <c r="O15" i="4" s="1"/>
  <c r="M30" i="4"/>
  <c r="P30" i="4" s="1"/>
  <c r="O49" i="4"/>
  <c r="N31" i="4"/>
  <c r="O533" i="4"/>
  <c r="P144" i="5"/>
  <c r="N142" i="5"/>
  <c r="N140" i="5" s="1"/>
  <c r="P330" i="5"/>
  <c r="O380" i="5"/>
  <c r="O401" i="5"/>
  <c r="N644" i="5"/>
  <c r="N640" i="5" s="1"/>
  <c r="N638" i="5" s="1"/>
  <c r="N636" i="5" s="1"/>
  <c r="O49" i="6"/>
  <c r="N26" i="6"/>
  <c r="N16" i="6" s="1"/>
  <c r="I579" i="1"/>
  <c r="K579" i="1" s="1"/>
  <c r="L15" i="2"/>
  <c r="O15" i="2" s="1"/>
  <c r="M222" i="2"/>
  <c r="M290" i="2"/>
  <c r="K614" i="2"/>
  <c r="K622" i="2"/>
  <c r="M13" i="3"/>
  <c r="P13" i="3" s="1"/>
  <c r="L19" i="3"/>
  <c r="P32" i="3"/>
  <c r="N43" i="3"/>
  <c r="N41" i="3" s="1"/>
  <c r="M55" i="3"/>
  <c r="M312" i="3"/>
  <c r="K623" i="3"/>
  <c r="M15" i="4"/>
  <c r="P15" i="4" s="1"/>
  <c r="N19" i="4"/>
  <c r="L26" i="4"/>
  <c r="P45" i="4"/>
  <c r="M43" i="4"/>
  <c r="M220" i="4"/>
  <c r="P314" i="4"/>
  <c r="M312" i="4"/>
  <c r="O439" i="4"/>
  <c r="O42" i="5"/>
  <c r="P98" i="5"/>
  <c r="N96" i="5"/>
  <c r="N94" i="5" s="1"/>
  <c r="O291" i="5"/>
  <c r="K369" i="5"/>
  <c r="I367" i="5"/>
  <c r="K367" i="5" s="1"/>
  <c r="K481" i="5"/>
  <c r="L23" i="6"/>
  <c r="L57" i="6"/>
  <c r="O67" i="6"/>
  <c r="L70" i="6"/>
  <c r="K112" i="6"/>
  <c r="O119" i="6"/>
  <c r="L122" i="6"/>
  <c r="O385" i="6"/>
  <c r="L34" i="6"/>
  <c r="L19" i="7"/>
  <c r="O21" i="7"/>
  <c r="L32" i="8"/>
  <c r="O566" i="8"/>
  <c r="I435" i="1"/>
  <c r="I486" i="1"/>
  <c r="K486" i="1" s="1"/>
  <c r="L565" i="1"/>
  <c r="M15" i="2"/>
  <c r="P15" i="2" s="1"/>
  <c r="M310" i="2"/>
  <c r="K617" i="2"/>
  <c r="L15" i="3"/>
  <c r="O15" i="3" s="1"/>
  <c r="M28" i="3"/>
  <c r="P28" i="3" s="1"/>
  <c r="O102" i="3"/>
  <c r="K626" i="3"/>
  <c r="M26" i="4"/>
  <c r="N43" i="4"/>
  <c r="N41" i="4" s="1"/>
  <c r="O54" i="4"/>
  <c r="O57" i="4"/>
  <c r="P141" i="4"/>
  <c r="N312" i="4"/>
  <c r="N310" i="4" s="1"/>
  <c r="N34" i="4"/>
  <c r="N14" i="4" s="1"/>
  <c r="P19" i="5"/>
  <c r="P42" i="5"/>
  <c r="O49" i="5"/>
  <c r="M49" i="5"/>
  <c r="M43" i="5" s="1"/>
  <c r="L26" i="5"/>
  <c r="P291" i="5"/>
  <c r="O337" i="5"/>
  <c r="M337" i="5"/>
  <c r="P337" i="5" s="1"/>
  <c r="L31" i="5"/>
  <c r="L11" i="5" s="1"/>
  <c r="O534" i="5"/>
  <c r="M22" i="6"/>
  <c r="P45" i="6"/>
  <c r="M43" i="6"/>
  <c r="O54" i="6"/>
  <c r="P67" i="6"/>
  <c r="P119" i="6"/>
  <c r="O141" i="6"/>
  <c r="N34" i="6"/>
  <c r="N14" i="6" s="1"/>
  <c r="P21" i="7"/>
  <c r="M11" i="7"/>
  <c r="M19" i="7"/>
  <c r="L26" i="2"/>
  <c r="M118" i="2"/>
  <c r="K612" i="2"/>
  <c r="K620" i="2"/>
  <c r="M142" i="3"/>
  <c r="M140" i="3" s="1"/>
  <c r="M252" i="3"/>
  <c r="N273" i="3"/>
  <c r="K621" i="3"/>
  <c r="L23" i="4"/>
  <c r="P29" i="4"/>
  <c r="P54" i="4"/>
  <c r="O67" i="4"/>
  <c r="O95" i="4"/>
  <c r="P122" i="4"/>
  <c r="M120" i="4"/>
  <c r="O459" i="4"/>
  <c r="K633" i="5"/>
  <c r="P29" i="6"/>
  <c r="M28" i="6"/>
  <c r="P28" i="6" s="1"/>
  <c r="P291" i="7"/>
  <c r="M290" i="7"/>
  <c r="P290" i="7" s="1"/>
  <c r="I500" i="1"/>
  <c r="K500" i="1" s="1"/>
  <c r="L32" i="2"/>
  <c r="M250" i="2"/>
  <c r="M220" i="3"/>
  <c r="M14" i="4"/>
  <c r="P14" i="4" s="1"/>
  <c r="P67" i="4"/>
  <c r="L70" i="4"/>
  <c r="P95" i="4"/>
  <c r="N120" i="4"/>
  <c r="K200" i="4"/>
  <c r="P333" i="4"/>
  <c r="N331" i="4"/>
  <c r="N329" i="4" s="1"/>
  <c r="K499" i="4"/>
  <c r="L24" i="5"/>
  <c r="K92" i="5"/>
  <c r="N34" i="5"/>
  <c r="N14" i="5" s="1"/>
  <c r="K426" i="5"/>
  <c r="L34" i="5"/>
  <c r="O568" i="5"/>
  <c r="O599" i="5"/>
  <c r="K615" i="5"/>
  <c r="K612" i="5"/>
  <c r="K617" i="5"/>
  <c r="K614" i="5"/>
  <c r="K619" i="5"/>
  <c r="K611" i="5"/>
  <c r="K616" i="5"/>
  <c r="K597" i="6"/>
  <c r="P224" i="8"/>
  <c r="M222" i="8"/>
  <c r="O272" i="8"/>
  <c r="K613" i="4"/>
  <c r="L640" i="4"/>
  <c r="L23" i="5"/>
  <c r="P314" i="6"/>
  <c r="M312" i="6"/>
  <c r="K630" i="6"/>
  <c r="P29" i="7"/>
  <c r="M28" i="7"/>
  <c r="P28" i="7" s="1"/>
  <c r="M96" i="7"/>
  <c r="L294" i="7"/>
  <c r="L24" i="7"/>
  <c r="O311" i="7"/>
  <c r="N32" i="7"/>
  <c r="O459" i="7"/>
  <c r="L34" i="7"/>
  <c r="P122" i="8"/>
  <c r="N120" i="8"/>
  <c r="N118" i="8" s="1"/>
  <c r="P251" i="9"/>
  <c r="L254" i="9"/>
  <c r="K285" i="9"/>
  <c r="O353" i="11"/>
  <c r="L33" i="11"/>
  <c r="O33" i="11" s="1"/>
  <c r="M273" i="4"/>
  <c r="K616" i="4"/>
  <c r="M222" i="5"/>
  <c r="K622" i="5"/>
  <c r="L57" i="7"/>
  <c r="L23" i="7"/>
  <c r="P311" i="7"/>
  <c r="K340" i="7"/>
  <c r="M142" i="4"/>
  <c r="M252" i="4"/>
  <c r="P252" i="4" s="1"/>
  <c r="I367" i="4"/>
  <c r="K367" i="4" s="1"/>
  <c r="K611" i="4"/>
  <c r="K619" i="4"/>
  <c r="M11" i="5"/>
  <c r="P224" i="5"/>
  <c r="M310" i="5"/>
  <c r="P310" i="5" s="1"/>
  <c r="K625" i="5"/>
  <c r="M13" i="6"/>
  <c r="P13" i="6" s="1"/>
  <c r="N43" i="6"/>
  <c r="N41" i="6" s="1"/>
  <c r="M140" i="6"/>
  <c r="M329" i="6"/>
  <c r="P42" i="7"/>
  <c r="M140" i="7"/>
  <c r="M250" i="7"/>
  <c r="P250" i="7" s="1"/>
  <c r="P252" i="7"/>
  <c r="O272" i="7"/>
  <c r="P19" i="8"/>
  <c r="O102" i="8"/>
  <c r="K614" i="4"/>
  <c r="K622" i="4"/>
  <c r="K620" i="5"/>
  <c r="M68" i="6"/>
  <c r="P68" i="6" s="1"/>
  <c r="M120" i="6"/>
  <c r="P120" i="6" s="1"/>
  <c r="K350" i="6"/>
  <c r="O649" i="6"/>
  <c r="L640" i="6"/>
  <c r="O67" i="7"/>
  <c r="O119" i="7"/>
  <c r="K199" i="7"/>
  <c r="L31" i="7"/>
  <c r="L11" i="7" s="1"/>
  <c r="O351" i="7"/>
  <c r="M55" i="4"/>
  <c r="M329" i="4"/>
  <c r="M13" i="5"/>
  <c r="P13" i="5" s="1"/>
  <c r="M53" i="5"/>
  <c r="M140" i="5"/>
  <c r="M250" i="5"/>
  <c r="M15" i="6"/>
  <c r="P15" i="6" s="1"/>
  <c r="M55" i="6"/>
  <c r="P275" i="6"/>
  <c r="M273" i="6"/>
  <c r="M53" i="7"/>
  <c r="K349" i="7"/>
  <c r="K551" i="7"/>
  <c r="K64" i="8"/>
  <c r="O537" i="8"/>
  <c r="L34" i="8"/>
  <c r="K628" i="8"/>
  <c r="K612" i="6"/>
  <c r="O102" i="7"/>
  <c r="K396" i="7"/>
  <c r="K420" i="7"/>
  <c r="O537" i="7"/>
  <c r="O566" i="7"/>
  <c r="O582" i="7"/>
  <c r="O597" i="7"/>
  <c r="N644" i="7"/>
  <c r="N640" i="7" s="1"/>
  <c r="N638" i="7" s="1"/>
  <c r="N636" i="7" s="1"/>
  <c r="N22" i="8"/>
  <c r="P30" i="8"/>
  <c r="N26" i="8"/>
  <c r="N16" i="8" s="1"/>
  <c r="K349" i="8"/>
  <c r="K595" i="8"/>
  <c r="N22" i="9"/>
  <c r="N43" i="9"/>
  <c r="N41" i="9" s="1"/>
  <c r="L24" i="9"/>
  <c r="P70" i="9"/>
  <c r="M68" i="9"/>
  <c r="K229" i="9"/>
  <c r="O382" i="9"/>
  <c r="L31" i="9"/>
  <c r="M250" i="6"/>
  <c r="K613" i="6"/>
  <c r="O42" i="8"/>
  <c r="O119" i="8"/>
  <c r="L252" i="8"/>
  <c r="O254" i="8"/>
  <c r="P23" i="9"/>
  <c r="M13" i="9"/>
  <c r="P13" i="9" s="1"/>
  <c r="M30" i="9"/>
  <c r="P30" i="9" s="1"/>
  <c r="P32" i="9"/>
  <c r="L26" i="9"/>
  <c r="K616" i="6"/>
  <c r="K631" i="7"/>
  <c r="L15" i="8"/>
  <c r="O15" i="8" s="1"/>
  <c r="L23" i="8"/>
  <c r="P311" i="8"/>
  <c r="M310" i="8"/>
  <c r="P310" i="8" s="1"/>
  <c r="K93" i="9"/>
  <c r="P141" i="9"/>
  <c r="M140" i="9"/>
  <c r="O141" i="11"/>
  <c r="I367" i="6"/>
  <c r="K367" i="6" s="1"/>
  <c r="K611" i="6"/>
  <c r="K619" i="6"/>
  <c r="M331" i="7"/>
  <c r="O19" i="9"/>
  <c r="P57" i="9"/>
  <c r="M55" i="9"/>
  <c r="N312" i="9"/>
  <c r="N310" i="9" s="1"/>
  <c r="K614" i="6"/>
  <c r="M118" i="7"/>
  <c r="P118" i="7" s="1"/>
  <c r="M271" i="7"/>
  <c r="P271" i="7" s="1"/>
  <c r="K632" i="7"/>
  <c r="P9" i="8"/>
  <c r="K133" i="8"/>
  <c r="O648" i="8"/>
  <c r="L640" i="8"/>
  <c r="K88" i="9"/>
  <c r="L98" i="9"/>
  <c r="M220" i="9"/>
  <c r="L23" i="10"/>
  <c r="L45" i="10"/>
  <c r="L640" i="7"/>
  <c r="O650" i="7"/>
  <c r="O19" i="8"/>
  <c r="L31" i="8"/>
  <c r="L11" i="8" s="1"/>
  <c r="O351" i="8"/>
  <c r="M22" i="9"/>
  <c r="P95" i="9"/>
  <c r="P294" i="9"/>
  <c r="M292" i="9"/>
  <c r="M53" i="10"/>
  <c r="M22" i="8"/>
  <c r="K613" i="8"/>
  <c r="K149" i="10"/>
  <c r="M271" i="10"/>
  <c r="O380" i="10"/>
  <c r="O457" i="10"/>
  <c r="K618" i="10"/>
  <c r="K615" i="10"/>
  <c r="K612" i="10"/>
  <c r="K617" i="10"/>
  <c r="K614" i="10"/>
  <c r="K619" i="10"/>
  <c r="K611" i="10"/>
  <c r="K616" i="10"/>
  <c r="P119" i="11"/>
  <c r="L222" i="11"/>
  <c r="O224" i="11"/>
  <c r="P119" i="12"/>
  <c r="M118" i="12"/>
  <c r="P118" i="12" s="1"/>
  <c r="N19" i="8"/>
  <c r="P57" i="8"/>
  <c r="N68" i="8"/>
  <c r="P68" i="8" s="1"/>
  <c r="M96" i="8"/>
  <c r="I367" i="8"/>
  <c r="K367" i="8" s="1"/>
  <c r="K611" i="8"/>
  <c r="K619" i="8"/>
  <c r="N222" i="9"/>
  <c r="N220" i="9" s="1"/>
  <c r="M331" i="9"/>
  <c r="K92" i="10"/>
  <c r="M118" i="10"/>
  <c r="P118" i="10" s="1"/>
  <c r="P120" i="10"/>
  <c r="K377" i="10"/>
  <c r="M14" i="11"/>
  <c r="P14" i="11" s="1"/>
  <c r="P24" i="11"/>
  <c r="K618" i="7"/>
  <c r="K626" i="7"/>
  <c r="L26" i="8"/>
  <c r="L45" i="8"/>
  <c r="M49" i="8"/>
  <c r="M43" i="8" s="1"/>
  <c r="P43" i="8" s="1"/>
  <c r="M290" i="8"/>
  <c r="P290" i="8" s="1"/>
  <c r="K614" i="8"/>
  <c r="K622" i="8"/>
  <c r="M43" i="9"/>
  <c r="P45" i="9"/>
  <c r="M102" i="9"/>
  <c r="M118" i="9"/>
  <c r="P118" i="9" s="1"/>
  <c r="P291" i="10"/>
  <c r="M290" i="10"/>
  <c r="P290" i="10" s="1"/>
  <c r="O337" i="10"/>
  <c r="L26" i="10"/>
  <c r="M337" i="10"/>
  <c r="M26" i="10" s="1"/>
  <c r="P32" i="11"/>
  <c r="M30" i="11"/>
  <c r="P30" i="11" s="1"/>
  <c r="K613" i="7"/>
  <c r="K621" i="7"/>
  <c r="K617" i="8"/>
  <c r="K625" i="8"/>
  <c r="M312" i="9"/>
  <c r="K396" i="9"/>
  <c r="M29" i="10"/>
  <c r="M11" i="10"/>
  <c r="P31" i="10"/>
  <c r="L294" i="10"/>
  <c r="K418" i="10"/>
  <c r="P330" i="11"/>
  <c r="M41" i="12"/>
  <c r="P42" i="12"/>
  <c r="P67" i="12"/>
  <c r="M66" i="12"/>
  <c r="O405" i="12"/>
  <c r="L33" i="12"/>
  <c r="O33" i="12" s="1"/>
  <c r="P311" i="14"/>
  <c r="M310" i="14"/>
  <c r="P310" i="14" s="1"/>
  <c r="M14" i="8"/>
  <c r="P14" i="8" s="1"/>
  <c r="M118" i="8"/>
  <c r="K612" i="8"/>
  <c r="L15" i="9"/>
  <c r="O15" i="9" s="1"/>
  <c r="M28" i="9"/>
  <c r="P28" i="9" s="1"/>
  <c r="O406" i="9"/>
  <c r="O564" i="9"/>
  <c r="M22" i="10"/>
  <c r="M140" i="10"/>
  <c r="K345" i="10"/>
  <c r="K369" i="10"/>
  <c r="I367" i="10"/>
  <c r="K367" i="10" s="1"/>
  <c r="K465" i="10"/>
  <c r="K481" i="10"/>
  <c r="O403" i="11"/>
  <c r="L31" i="11"/>
  <c r="N26" i="12"/>
  <c r="N16" i="12" s="1"/>
  <c r="N55" i="12"/>
  <c r="L122" i="12"/>
  <c r="L23" i="12"/>
  <c r="L24" i="13"/>
  <c r="K615" i="8"/>
  <c r="O648" i="9"/>
  <c r="L640" i="9"/>
  <c r="O19" i="10"/>
  <c r="N15" i="10"/>
  <c r="N19" i="10"/>
  <c r="N43" i="10"/>
  <c r="N41" i="10" s="1"/>
  <c r="O311" i="10"/>
  <c r="L32" i="10"/>
  <c r="O383" i="10"/>
  <c r="K613" i="10"/>
  <c r="M66" i="8"/>
  <c r="N142" i="9"/>
  <c r="P142" i="9" s="1"/>
  <c r="K416" i="9"/>
  <c r="K422" i="9"/>
  <c r="P45" i="10"/>
  <c r="K426" i="10"/>
  <c r="O554" i="10"/>
  <c r="L33" i="10"/>
  <c r="O33" i="10" s="1"/>
  <c r="O584" i="10"/>
  <c r="N644" i="10"/>
  <c r="N640" i="10" s="1"/>
  <c r="N638" i="10" s="1"/>
  <c r="N636" i="10" s="1"/>
  <c r="L15" i="13"/>
  <c r="O15" i="13" s="1"/>
  <c r="K612" i="9"/>
  <c r="K620" i="9"/>
  <c r="L15" i="10"/>
  <c r="O15" i="10" s="1"/>
  <c r="M19" i="10"/>
  <c r="M220" i="10"/>
  <c r="P312" i="10"/>
  <c r="K624" i="10"/>
  <c r="M13" i="11"/>
  <c r="P13" i="11" s="1"/>
  <c r="M15" i="11"/>
  <c r="P15" i="11" s="1"/>
  <c r="N22" i="11"/>
  <c r="N14" i="11"/>
  <c r="M41" i="11"/>
  <c r="N43" i="11"/>
  <c r="P43" i="11" s="1"/>
  <c r="O54" i="11"/>
  <c r="O95" i="11"/>
  <c r="P98" i="11"/>
  <c r="N96" i="11"/>
  <c r="P141" i="11"/>
  <c r="M140" i="11"/>
  <c r="P311" i="11"/>
  <c r="M310" i="11"/>
  <c r="P310" i="11" s="1"/>
  <c r="N31" i="11"/>
  <c r="O19" i="12"/>
  <c r="P25" i="12"/>
  <c r="P70" i="12"/>
  <c r="N22" i="12"/>
  <c r="P141" i="12"/>
  <c r="O351" i="12"/>
  <c r="O354" i="12"/>
  <c r="N34" i="12"/>
  <c r="N14" i="12" s="1"/>
  <c r="P25" i="13"/>
  <c r="M15" i="13"/>
  <c r="M19" i="13"/>
  <c r="K158" i="13"/>
  <c r="N22" i="14"/>
  <c r="M312" i="15"/>
  <c r="P314" i="15"/>
  <c r="K615" i="9"/>
  <c r="K623" i="9"/>
  <c r="K229" i="11"/>
  <c r="M271" i="11"/>
  <c r="O404" i="11"/>
  <c r="L32" i="11"/>
  <c r="K497" i="11"/>
  <c r="O221" i="12"/>
  <c r="K372" i="12"/>
  <c r="K113" i="13"/>
  <c r="L144" i="13"/>
  <c r="P275" i="13"/>
  <c r="M273" i="13"/>
  <c r="N33" i="13"/>
  <c r="N13" i="13" s="1"/>
  <c r="K622" i="10"/>
  <c r="P144" i="11"/>
  <c r="N142" i="11"/>
  <c r="N140" i="11" s="1"/>
  <c r="P54" i="12"/>
  <c r="M220" i="12"/>
  <c r="L32" i="12"/>
  <c r="K621" i="13"/>
  <c r="K623" i="13"/>
  <c r="K620" i="13"/>
  <c r="K622" i="13"/>
  <c r="K625" i="13"/>
  <c r="K624" i="13"/>
  <c r="K613" i="9"/>
  <c r="K625" i="10"/>
  <c r="P19" i="11"/>
  <c r="P21" i="11"/>
  <c r="M11" i="11"/>
  <c r="L24" i="11"/>
  <c r="K132" i="11"/>
  <c r="K186" i="11"/>
  <c r="M337" i="11"/>
  <c r="K380" i="11"/>
  <c r="L34" i="11"/>
  <c r="O34" i="11" s="1"/>
  <c r="O401" i="11"/>
  <c r="K621" i="11"/>
  <c r="K620" i="11"/>
  <c r="K625" i="11"/>
  <c r="M28" i="12"/>
  <c r="P28" i="12" s="1"/>
  <c r="K416" i="12"/>
  <c r="O580" i="12"/>
  <c r="O648" i="12"/>
  <c r="N644" i="12"/>
  <c r="N640" i="12" s="1"/>
  <c r="P251" i="13"/>
  <c r="M250" i="13"/>
  <c r="P250" i="13" s="1"/>
  <c r="L275" i="13"/>
  <c r="K368" i="13"/>
  <c r="O406" i="13"/>
  <c r="L34" i="13"/>
  <c r="K573" i="13"/>
  <c r="P29" i="11"/>
  <c r="M28" i="11"/>
  <c r="P28" i="11" s="1"/>
  <c r="K369" i="11"/>
  <c r="I367" i="11"/>
  <c r="K367" i="11" s="1"/>
  <c r="O640" i="11"/>
  <c r="N31" i="12"/>
  <c r="P68" i="13"/>
  <c r="M66" i="13"/>
  <c r="P66" i="13" s="1"/>
  <c r="M273" i="14"/>
  <c r="P275" i="14"/>
  <c r="O554" i="14"/>
  <c r="L33" i="14"/>
  <c r="O33" i="14" s="1"/>
  <c r="L640" i="14"/>
  <c r="O649" i="14"/>
  <c r="N32" i="10"/>
  <c r="N30" i="10" s="1"/>
  <c r="L34" i="10"/>
  <c r="K623" i="10"/>
  <c r="M66" i="11"/>
  <c r="P251" i="11"/>
  <c r="L24" i="12"/>
  <c r="N273" i="12"/>
  <c r="P275" i="12"/>
  <c r="P311" i="12"/>
  <c r="O337" i="12"/>
  <c r="M337" i="12"/>
  <c r="N43" i="13"/>
  <c r="N41" i="13" s="1"/>
  <c r="N22" i="13"/>
  <c r="P21" i="14"/>
  <c r="M11" i="14"/>
  <c r="M19" i="14"/>
  <c r="K369" i="14"/>
  <c r="I367" i="14"/>
  <c r="K367" i="14" s="1"/>
  <c r="L31" i="10"/>
  <c r="M43" i="10"/>
  <c r="P31" i="11"/>
  <c r="L23" i="11"/>
  <c r="P54" i="11"/>
  <c r="K92" i="11"/>
  <c r="P95" i="11"/>
  <c r="M220" i="11"/>
  <c r="L275" i="11"/>
  <c r="N32" i="11"/>
  <c r="N30" i="11" s="1"/>
  <c r="K449" i="11"/>
  <c r="K597" i="11"/>
  <c r="P21" i="12"/>
  <c r="M11" i="12"/>
  <c r="M19" i="12"/>
  <c r="P32" i="12"/>
  <c r="O49" i="12"/>
  <c r="N120" i="12"/>
  <c r="N118" i="12" s="1"/>
  <c r="O601" i="12"/>
  <c r="M30" i="13"/>
  <c r="P32" i="13"/>
  <c r="P45" i="13"/>
  <c r="L224" i="13"/>
  <c r="O352" i="13"/>
  <c r="O383" i="13"/>
  <c r="L19" i="13"/>
  <c r="M49" i="13"/>
  <c r="M43" i="13" s="1"/>
  <c r="L26" i="13"/>
  <c r="N222" i="13"/>
  <c r="N331" i="13"/>
  <c r="N329" i="13" s="1"/>
  <c r="P329" i="13" s="1"/>
  <c r="O533" i="13"/>
  <c r="M29" i="14"/>
  <c r="P31" i="14"/>
  <c r="L23" i="14"/>
  <c r="L45" i="14"/>
  <c r="P23" i="15"/>
  <c r="M13" i="15"/>
  <c r="P13" i="15" s="1"/>
  <c r="K349" i="11"/>
  <c r="K564" i="11"/>
  <c r="N292" i="12"/>
  <c r="N290" i="12" s="1"/>
  <c r="O347" i="12"/>
  <c r="O459" i="12"/>
  <c r="K631" i="12"/>
  <c r="N55" i="13"/>
  <c r="L68" i="13"/>
  <c r="N142" i="13"/>
  <c r="N140" i="13" s="1"/>
  <c r="P140" i="13" s="1"/>
  <c r="K401" i="13"/>
  <c r="L640" i="13"/>
  <c r="O648" i="13"/>
  <c r="L26" i="14"/>
  <c r="O61" i="14"/>
  <c r="K199" i="14"/>
  <c r="O534" i="14"/>
  <c r="L31" i="14"/>
  <c r="O67" i="15"/>
  <c r="O141" i="15"/>
  <c r="M292" i="11"/>
  <c r="K421" i="11"/>
  <c r="K628" i="11"/>
  <c r="L144" i="12"/>
  <c r="K219" i="12"/>
  <c r="L34" i="12"/>
  <c r="K376" i="12"/>
  <c r="O439" i="12"/>
  <c r="O533" i="12"/>
  <c r="K618" i="12"/>
  <c r="K619" i="12"/>
  <c r="K616" i="12"/>
  <c r="K613" i="12"/>
  <c r="K626" i="12"/>
  <c r="K622" i="12"/>
  <c r="K635" i="12"/>
  <c r="P254" i="14"/>
  <c r="N252" i="14"/>
  <c r="N250" i="14" s="1"/>
  <c r="O352" i="14"/>
  <c r="L34" i="14"/>
  <c r="O439" i="14"/>
  <c r="P57" i="14"/>
  <c r="M55" i="14"/>
  <c r="O272" i="14"/>
  <c r="O383" i="11"/>
  <c r="K619" i="11"/>
  <c r="K611" i="11"/>
  <c r="K616" i="11"/>
  <c r="P122" i="12"/>
  <c r="K270" i="12"/>
  <c r="O349" i="12"/>
  <c r="N32" i="12"/>
  <c r="N30" i="12" s="1"/>
  <c r="K428" i="12"/>
  <c r="O455" i="12"/>
  <c r="N32" i="13"/>
  <c r="M22" i="14"/>
  <c r="L24" i="15"/>
  <c r="L45" i="15"/>
  <c r="O385" i="13"/>
  <c r="K429" i="13"/>
  <c r="P25" i="14"/>
  <c r="M15" i="14"/>
  <c r="P15" i="14" s="1"/>
  <c r="O119" i="14"/>
  <c r="O291" i="14"/>
  <c r="P54" i="15"/>
  <c r="O61" i="15"/>
  <c r="L26" i="15"/>
  <c r="K189" i="15"/>
  <c r="L19" i="16"/>
  <c r="O21" i="16"/>
  <c r="O95" i="12"/>
  <c r="K173" i="12"/>
  <c r="K368" i="12"/>
  <c r="J671" i="12"/>
  <c r="N96" i="13"/>
  <c r="P221" i="13"/>
  <c r="M220" i="13"/>
  <c r="K341" i="13"/>
  <c r="K64" i="14"/>
  <c r="N222" i="14"/>
  <c r="N220" i="14" s="1"/>
  <c r="N33" i="14"/>
  <c r="N13" i="14" s="1"/>
  <c r="K426" i="14"/>
  <c r="O437" i="14"/>
  <c r="N222" i="15"/>
  <c r="N220" i="15" s="1"/>
  <c r="P220" i="15" s="1"/>
  <c r="P291" i="14"/>
  <c r="N644" i="14"/>
  <c r="N640" i="14" s="1"/>
  <c r="N638" i="14" s="1"/>
  <c r="N636" i="14" s="1"/>
  <c r="O251" i="15"/>
  <c r="P24" i="16"/>
  <c r="M14" i="16"/>
  <c r="P14" i="16" s="1"/>
  <c r="P42" i="16"/>
  <c r="O49" i="16"/>
  <c r="M49" i="16"/>
  <c r="L26" i="16"/>
  <c r="P29" i="19"/>
  <c r="M28" i="19"/>
  <c r="P28" i="19" s="1"/>
  <c r="K421" i="13"/>
  <c r="K597" i="13"/>
  <c r="K80" i="14"/>
  <c r="P98" i="14"/>
  <c r="M96" i="14"/>
  <c r="P224" i="14"/>
  <c r="M222" i="14"/>
  <c r="K267" i="14"/>
  <c r="L294" i="14"/>
  <c r="P330" i="14"/>
  <c r="K380" i="14"/>
  <c r="K564" i="14"/>
  <c r="L23" i="15"/>
  <c r="P49" i="15"/>
  <c r="K158" i="15"/>
  <c r="P251" i="15"/>
  <c r="M250" i="15"/>
  <c r="K328" i="15"/>
  <c r="P29" i="16"/>
  <c r="M28" i="16"/>
  <c r="P28" i="16" s="1"/>
  <c r="L32" i="14"/>
  <c r="O383" i="14"/>
  <c r="K615" i="14"/>
  <c r="K617" i="14"/>
  <c r="K614" i="14"/>
  <c r="K619" i="14"/>
  <c r="K611" i="14"/>
  <c r="K628" i="14"/>
  <c r="P67" i="15"/>
  <c r="O95" i="15"/>
  <c r="P141" i="15"/>
  <c r="M140" i="15"/>
  <c r="L254" i="15"/>
  <c r="O272" i="15"/>
  <c r="I367" i="15"/>
  <c r="K367" i="15" s="1"/>
  <c r="K371" i="15"/>
  <c r="O383" i="15"/>
  <c r="N32" i="15"/>
  <c r="N30" i="15" s="1"/>
  <c r="K428" i="15"/>
  <c r="K431" i="13"/>
  <c r="K449" i="13"/>
  <c r="K595" i="13"/>
  <c r="O42" i="14"/>
  <c r="N118" i="14"/>
  <c r="O311" i="14"/>
  <c r="P21" i="15"/>
  <c r="M11" i="15"/>
  <c r="M22" i="15"/>
  <c r="P45" i="15"/>
  <c r="M43" i="15"/>
  <c r="P95" i="15"/>
  <c r="P144" i="15"/>
  <c r="P272" i="15"/>
  <c r="M329" i="15"/>
  <c r="O351" i="15"/>
  <c r="L31" i="15"/>
  <c r="K397" i="14"/>
  <c r="K632" i="14"/>
  <c r="N19" i="15"/>
  <c r="N43" i="15"/>
  <c r="N41" i="15" s="1"/>
  <c r="O119" i="15"/>
  <c r="L331" i="15"/>
  <c r="O333" i="15"/>
  <c r="K595" i="14"/>
  <c r="M19" i="15"/>
  <c r="M26" i="15"/>
  <c r="M30" i="15"/>
  <c r="O54" i="15"/>
  <c r="K84" i="15"/>
  <c r="L98" i="15"/>
  <c r="P119" i="15"/>
  <c r="K138" i="15"/>
  <c r="P224" i="15"/>
  <c r="K229" i="15"/>
  <c r="K265" i="15"/>
  <c r="M53" i="16"/>
  <c r="P119" i="16"/>
  <c r="M118" i="16"/>
  <c r="P118" i="16" s="1"/>
  <c r="P224" i="16"/>
  <c r="N222" i="16"/>
  <c r="N220" i="16" s="1"/>
  <c r="L34" i="16"/>
  <c r="O354" i="16"/>
  <c r="L34" i="15"/>
  <c r="M22" i="16"/>
  <c r="P333" i="16"/>
  <c r="K622" i="14"/>
  <c r="L24" i="16"/>
  <c r="O141" i="16"/>
  <c r="P25" i="17"/>
  <c r="M15" i="17"/>
  <c r="P15" i="17" s="1"/>
  <c r="K613" i="13"/>
  <c r="K625" i="14"/>
  <c r="K420" i="15"/>
  <c r="N26" i="16"/>
  <c r="N16" i="16" s="1"/>
  <c r="O314" i="16"/>
  <c r="L312" i="16"/>
  <c r="O312" i="16" s="1"/>
  <c r="I367" i="13"/>
  <c r="K367" i="13" s="1"/>
  <c r="K611" i="13"/>
  <c r="M140" i="14"/>
  <c r="M250" i="14"/>
  <c r="M15" i="15"/>
  <c r="P15" i="15" s="1"/>
  <c r="M55" i="15"/>
  <c r="M13" i="16"/>
  <c r="P13" i="16" s="1"/>
  <c r="P33" i="16"/>
  <c r="N22" i="16"/>
  <c r="O251" i="16"/>
  <c r="P272" i="16"/>
  <c r="M271" i="16"/>
  <c r="O337" i="16"/>
  <c r="L31" i="16"/>
  <c r="O403" i="16"/>
  <c r="O567" i="16"/>
  <c r="L33" i="16"/>
  <c r="O33" i="16" s="1"/>
  <c r="K612" i="15"/>
  <c r="M19" i="16"/>
  <c r="M220" i="16"/>
  <c r="M337" i="16"/>
  <c r="P337" i="16" s="1"/>
  <c r="K417" i="16"/>
  <c r="K629" i="16"/>
  <c r="P275" i="17"/>
  <c r="M273" i="17"/>
  <c r="O353" i="17"/>
  <c r="L33" i="17"/>
  <c r="O33" i="17" s="1"/>
  <c r="M292" i="15"/>
  <c r="K618" i="15"/>
  <c r="P31" i="16"/>
  <c r="L45" i="16"/>
  <c r="K401" i="16"/>
  <c r="O19" i="17"/>
  <c r="M29" i="17"/>
  <c r="M11" i="17"/>
  <c r="P31" i="17"/>
  <c r="P57" i="17"/>
  <c r="M55" i="17"/>
  <c r="P122" i="17"/>
  <c r="M120" i="17"/>
  <c r="K613" i="15"/>
  <c r="L640" i="15"/>
  <c r="O580" i="16"/>
  <c r="M14" i="17"/>
  <c r="P14" i="17" s="1"/>
  <c r="P34" i="17"/>
  <c r="N55" i="17"/>
  <c r="N53" i="17" s="1"/>
  <c r="N22" i="17"/>
  <c r="M337" i="17"/>
  <c r="L26" i="17"/>
  <c r="O337" i="17"/>
  <c r="K611" i="15"/>
  <c r="K619" i="15"/>
  <c r="M11" i="16"/>
  <c r="M140" i="16"/>
  <c r="M312" i="16"/>
  <c r="K624" i="16"/>
  <c r="K621" i="16"/>
  <c r="K626" i="16"/>
  <c r="K623" i="16"/>
  <c r="K620" i="16"/>
  <c r="P70" i="17"/>
  <c r="M68" i="17"/>
  <c r="O221" i="17"/>
  <c r="M66" i="16"/>
  <c r="P66" i="16" s="1"/>
  <c r="K398" i="16"/>
  <c r="K425" i="16"/>
  <c r="L23" i="17"/>
  <c r="L45" i="17"/>
  <c r="O437" i="17"/>
  <c r="L32" i="17"/>
  <c r="N32" i="19"/>
  <c r="N30" i="19" s="1"/>
  <c r="O404" i="19"/>
  <c r="L15" i="17"/>
  <c r="O15" i="17" s="1"/>
  <c r="M19" i="17"/>
  <c r="N644" i="17"/>
  <c r="N640" i="17" s="1"/>
  <c r="N638" i="17" s="1"/>
  <c r="N636" i="17" s="1"/>
  <c r="N15" i="18"/>
  <c r="N19" i="18"/>
  <c r="O330" i="18"/>
  <c r="K615" i="16"/>
  <c r="M142" i="17"/>
  <c r="M252" i="17"/>
  <c r="P333" i="17"/>
  <c r="K370" i="17"/>
  <c r="K450" i="17"/>
  <c r="N55" i="18"/>
  <c r="N53" i="18" s="1"/>
  <c r="N22" i="18"/>
  <c r="N222" i="18"/>
  <c r="P222" i="18" s="1"/>
  <c r="P251" i="18"/>
  <c r="O126" i="18"/>
  <c r="L26" i="18"/>
  <c r="P221" i="18"/>
  <c r="M220" i="18"/>
  <c r="K613" i="16"/>
  <c r="L640" i="16"/>
  <c r="O19" i="18"/>
  <c r="L24" i="18"/>
  <c r="N26" i="17"/>
  <c r="N16" i="17" s="1"/>
  <c r="M222" i="17"/>
  <c r="L333" i="17"/>
  <c r="O651" i="17"/>
  <c r="O349" i="17"/>
  <c r="K422" i="17"/>
  <c r="M29" i="18"/>
  <c r="P31" i="18"/>
  <c r="L23" i="18"/>
  <c r="L45" i="18"/>
  <c r="P98" i="18"/>
  <c r="M96" i="18"/>
  <c r="P254" i="18"/>
  <c r="M252" i="18"/>
  <c r="P252" i="18" s="1"/>
  <c r="P314" i="18"/>
  <c r="M312" i="18"/>
  <c r="K614" i="17"/>
  <c r="K622" i="17"/>
  <c r="M66" i="18"/>
  <c r="O251" i="18"/>
  <c r="K398" i="18"/>
  <c r="K430" i="18"/>
  <c r="N19" i="19"/>
  <c r="O57" i="19"/>
  <c r="L55" i="19"/>
  <c r="K189" i="19"/>
  <c r="K612" i="17"/>
  <c r="K620" i="17"/>
  <c r="L15" i="18"/>
  <c r="M19" i="18"/>
  <c r="P119" i="18"/>
  <c r="M118" i="18"/>
  <c r="P118" i="18" s="1"/>
  <c r="P272" i="18"/>
  <c r="O311" i="18"/>
  <c r="O437" i="18"/>
  <c r="N55" i="19"/>
  <c r="P55" i="19" s="1"/>
  <c r="L33" i="19"/>
  <c r="O33" i="19" s="1"/>
  <c r="O353" i="19"/>
  <c r="K615" i="17"/>
  <c r="K623" i="17"/>
  <c r="M55" i="18"/>
  <c r="K465" i="18"/>
  <c r="K481" i="18"/>
  <c r="K497" i="18"/>
  <c r="P221" i="19"/>
  <c r="O385" i="19"/>
  <c r="L34" i="19"/>
  <c r="O34" i="19" s="1"/>
  <c r="K613" i="17"/>
  <c r="K621" i="17"/>
  <c r="L640" i="17"/>
  <c r="O141" i="18"/>
  <c r="P224" i="18"/>
  <c r="O291" i="18"/>
  <c r="N644" i="18"/>
  <c r="N640" i="18" s="1"/>
  <c r="N638" i="18" s="1"/>
  <c r="N636" i="18" s="1"/>
  <c r="M22" i="19"/>
  <c r="P45" i="19"/>
  <c r="M43" i="19"/>
  <c r="L24" i="19"/>
  <c r="M142" i="19"/>
  <c r="P144" i="19"/>
  <c r="P144" i="18"/>
  <c r="K149" i="18"/>
  <c r="M331" i="18"/>
  <c r="K377" i="18"/>
  <c r="O401" i="18"/>
  <c r="K426" i="18"/>
  <c r="O584" i="18"/>
  <c r="M271" i="19"/>
  <c r="P333" i="19"/>
  <c r="M11" i="18"/>
  <c r="K618" i="18"/>
  <c r="K615" i="18"/>
  <c r="K612" i="18"/>
  <c r="K617" i="18"/>
  <c r="K614" i="18"/>
  <c r="K619" i="18"/>
  <c r="K611" i="18"/>
  <c r="K616" i="18"/>
  <c r="P224" i="19"/>
  <c r="M222" i="19"/>
  <c r="P294" i="19"/>
  <c r="M292" i="19"/>
  <c r="K624" i="18"/>
  <c r="M14" i="19"/>
  <c r="P14" i="19" s="1"/>
  <c r="N26" i="19"/>
  <c r="N16" i="19" s="1"/>
  <c r="M66" i="19"/>
  <c r="K176" i="19"/>
  <c r="P254" i="19"/>
  <c r="P272" i="19"/>
  <c r="I367" i="19"/>
  <c r="K367" i="19" s="1"/>
  <c r="M11" i="19"/>
  <c r="P21" i="19"/>
  <c r="M53" i="19"/>
  <c r="L331" i="19"/>
  <c r="K622" i="18"/>
  <c r="O119" i="19"/>
  <c r="L224" i="19"/>
  <c r="K285" i="19"/>
  <c r="O354" i="19"/>
  <c r="K620" i="18"/>
  <c r="L15" i="19"/>
  <c r="O15" i="19" s="1"/>
  <c r="N22" i="19"/>
  <c r="P95" i="19"/>
  <c r="M94" i="19"/>
  <c r="P94" i="19" s="1"/>
  <c r="P311" i="19"/>
  <c r="M310" i="19"/>
  <c r="P310" i="19" s="1"/>
  <c r="K375" i="19"/>
  <c r="O406" i="19"/>
  <c r="K164" i="19"/>
  <c r="O272" i="19"/>
  <c r="K372" i="19"/>
  <c r="L122" i="19"/>
  <c r="K158" i="19"/>
  <c r="O221" i="19"/>
  <c r="P275" i="19"/>
  <c r="K328" i="19"/>
  <c r="K416" i="19"/>
  <c r="K617" i="19"/>
  <c r="K625" i="19"/>
  <c r="M13" i="20"/>
  <c r="P13" i="20" s="1"/>
  <c r="L19" i="20"/>
  <c r="K398" i="20"/>
  <c r="K618" i="20"/>
  <c r="K615" i="20"/>
  <c r="K612" i="20"/>
  <c r="K617" i="20"/>
  <c r="K614" i="20"/>
  <c r="K619" i="20"/>
  <c r="K611" i="20"/>
  <c r="K616" i="20"/>
  <c r="P98" i="20"/>
  <c r="M96" i="20"/>
  <c r="K149" i="20"/>
  <c r="P291" i="20"/>
  <c r="O311" i="20"/>
  <c r="O599" i="20"/>
  <c r="K621" i="19"/>
  <c r="L640" i="19"/>
  <c r="L23" i="20"/>
  <c r="L32" i="20"/>
  <c r="O337" i="20"/>
  <c r="M337" i="20"/>
  <c r="M331" i="20" s="1"/>
  <c r="K345" i="20"/>
  <c r="K369" i="20"/>
  <c r="I367" i="20"/>
  <c r="K367" i="20" s="1"/>
  <c r="K426" i="20"/>
  <c r="K473" i="20"/>
  <c r="O54" i="21"/>
  <c r="O42" i="20"/>
  <c r="P70" i="20"/>
  <c r="N68" i="20"/>
  <c r="N66" i="20" s="1"/>
  <c r="L640" i="20"/>
  <c r="O648" i="20"/>
  <c r="M11" i="20"/>
  <c r="O401" i="20"/>
  <c r="P102" i="21"/>
  <c r="M26" i="21"/>
  <c r="K613" i="20"/>
  <c r="M43" i="20"/>
  <c r="N142" i="20"/>
  <c r="N140" i="20" s="1"/>
  <c r="M220" i="20"/>
  <c r="O25" i="21"/>
  <c r="L15" i="21"/>
  <c r="O15" i="21" s="1"/>
  <c r="L34" i="21"/>
  <c r="P54" i="21"/>
  <c r="K176" i="21"/>
  <c r="K229" i="21"/>
  <c r="N331" i="21"/>
  <c r="N329" i="21" s="1"/>
  <c r="K376" i="21"/>
  <c r="K597" i="21"/>
  <c r="K632" i="21"/>
  <c r="N644" i="20"/>
  <c r="N640" i="20" s="1"/>
  <c r="N638" i="20" s="1"/>
  <c r="N636" i="20" s="1"/>
  <c r="P23" i="21"/>
  <c r="M13" i="21"/>
  <c r="P13" i="21" s="1"/>
  <c r="P25" i="21"/>
  <c r="M15" i="21"/>
  <c r="P15" i="21" s="1"/>
  <c r="P29" i="21"/>
  <c r="M28" i="21"/>
  <c r="P28" i="21" s="1"/>
  <c r="L24" i="21"/>
  <c r="P95" i="21"/>
  <c r="M96" i="21"/>
  <c r="O221" i="21"/>
  <c r="N312" i="21"/>
  <c r="N310" i="21" s="1"/>
  <c r="K620" i="20"/>
  <c r="K625" i="20"/>
  <c r="K623" i="20"/>
  <c r="O19" i="21"/>
  <c r="P32" i="21"/>
  <c r="M30" i="21"/>
  <c r="P30" i="21" s="1"/>
  <c r="L26" i="21"/>
  <c r="K113" i="21"/>
  <c r="P141" i="21"/>
  <c r="M140" i="21"/>
  <c r="P251" i="21"/>
  <c r="M250" i="21"/>
  <c r="M329" i="21"/>
  <c r="O352" i="21"/>
  <c r="K417" i="21"/>
  <c r="K435" i="21"/>
  <c r="N222" i="20"/>
  <c r="N220" i="20" s="1"/>
  <c r="K626" i="20"/>
  <c r="M22" i="21"/>
  <c r="M120" i="21"/>
  <c r="P122" i="21"/>
  <c r="M273" i="21"/>
  <c r="P275" i="21"/>
  <c r="N33" i="21"/>
  <c r="N13" i="21" s="1"/>
  <c r="M271" i="20"/>
  <c r="M292" i="20"/>
  <c r="P292" i="20" s="1"/>
  <c r="K634" i="20"/>
  <c r="N26" i="21"/>
  <c r="N16" i="21" s="1"/>
  <c r="N22" i="21"/>
  <c r="N43" i="21"/>
  <c r="N41" i="21" s="1"/>
  <c r="O49" i="21"/>
  <c r="O61" i="21"/>
  <c r="M68" i="21"/>
  <c r="P70" i="21"/>
  <c r="N120" i="21"/>
  <c r="N118" i="21" s="1"/>
  <c r="M292" i="21"/>
  <c r="O353" i="21"/>
  <c r="L33" i="21"/>
  <c r="K431" i="21"/>
  <c r="K455" i="21"/>
  <c r="K551" i="21"/>
  <c r="K630" i="21"/>
  <c r="M140" i="20"/>
  <c r="M250" i="20"/>
  <c r="K213" i="21"/>
  <c r="M220" i="21"/>
  <c r="K267" i="21"/>
  <c r="L312" i="21"/>
  <c r="K350" i="21"/>
  <c r="O385" i="21"/>
  <c r="K589" i="21"/>
  <c r="M66" i="20"/>
  <c r="K621" i="20"/>
  <c r="K624" i="20"/>
  <c r="P57" i="21"/>
  <c r="M55" i="21"/>
  <c r="K249" i="21"/>
  <c r="K285" i="21"/>
  <c r="K380" i="21"/>
  <c r="N34" i="21"/>
  <c r="N14" i="21" s="1"/>
  <c r="O406" i="21"/>
  <c r="K464" i="21"/>
  <c r="K547" i="21"/>
  <c r="K573" i="21"/>
  <c r="I367" i="21"/>
  <c r="K367" i="21" s="1"/>
  <c r="K611" i="21"/>
  <c r="K619" i="21"/>
  <c r="K614" i="21"/>
  <c r="O648" i="21"/>
  <c r="N222" i="21"/>
  <c r="P222" i="21" s="1"/>
  <c r="M312" i="21"/>
  <c r="K613" i="21"/>
  <c r="M310" i="7" l="1"/>
  <c r="P310" i="7" s="1"/>
  <c r="O294" i="12"/>
  <c r="O122" i="9"/>
  <c r="P329" i="6"/>
  <c r="L292" i="16"/>
  <c r="L290" i="16" s="1"/>
  <c r="O290" i="16" s="1"/>
  <c r="L68" i="19"/>
  <c r="O68" i="19" s="1"/>
  <c r="O98" i="20"/>
  <c r="M271" i="15"/>
  <c r="P271" i="15" s="1"/>
  <c r="P273" i="13"/>
  <c r="L14" i="2"/>
  <c r="P55" i="21"/>
  <c r="L96" i="17"/>
  <c r="O96" i="17" s="1"/>
  <c r="O380" i="1"/>
  <c r="P140" i="14"/>
  <c r="K289" i="1"/>
  <c r="O122" i="14"/>
  <c r="L312" i="6"/>
  <c r="L310" i="6" s="1"/>
  <c r="O310" i="6" s="1"/>
  <c r="K149" i="1"/>
  <c r="K110" i="1"/>
  <c r="K416" i="1"/>
  <c r="N66" i="19"/>
  <c r="P66" i="19" s="1"/>
  <c r="M26" i="11"/>
  <c r="M16" i="11" s="1"/>
  <c r="P16" i="11" s="1"/>
  <c r="L273" i="3"/>
  <c r="O273" i="3" s="1"/>
  <c r="L292" i="18"/>
  <c r="O292" i="18" s="1"/>
  <c r="N290" i="2"/>
  <c r="P290" i="2" s="1"/>
  <c r="L55" i="2"/>
  <c r="O55" i="2" s="1"/>
  <c r="K481" i="1"/>
  <c r="O648" i="1"/>
  <c r="K547" i="1"/>
  <c r="O34" i="10"/>
  <c r="L68" i="16"/>
  <c r="O68" i="16" s="1"/>
  <c r="K451" i="1"/>
  <c r="K345" i="1"/>
  <c r="K634" i="1"/>
  <c r="O435" i="1"/>
  <c r="P224" i="1"/>
  <c r="P120" i="11"/>
  <c r="O55" i="4"/>
  <c r="K422" i="1"/>
  <c r="M250" i="9"/>
  <c r="P250" i="9" s="1"/>
  <c r="O45" i="3"/>
  <c r="K418" i="1"/>
  <c r="L252" i="14"/>
  <c r="L250" i="14" s="1"/>
  <c r="O250" i="14" s="1"/>
  <c r="O564" i="1"/>
  <c r="O314" i="12"/>
  <c r="O98" i="10"/>
  <c r="L312" i="9"/>
  <c r="O312" i="9" s="1"/>
  <c r="O275" i="14"/>
  <c r="N29" i="21"/>
  <c r="N28" i="21" s="1"/>
  <c r="O331" i="19"/>
  <c r="P96" i="10"/>
  <c r="O275" i="19"/>
  <c r="L312" i="15"/>
  <c r="O312" i="15" s="1"/>
  <c r="O597" i="1"/>
  <c r="P22" i="18"/>
  <c r="L312" i="2"/>
  <c r="L310" i="2" s="1"/>
  <c r="O310" i="2" s="1"/>
  <c r="L273" i="8"/>
  <c r="O273" i="8" s="1"/>
  <c r="L222" i="3"/>
  <c r="L220" i="3" s="1"/>
  <c r="O34" i="9"/>
  <c r="O254" i="17"/>
  <c r="O32" i="7"/>
  <c r="L120" i="10"/>
  <c r="L118" i="10" s="1"/>
  <c r="O118" i="10" s="1"/>
  <c r="L55" i="16"/>
  <c r="O55" i="16" s="1"/>
  <c r="O34" i="8"/>
  <c r="P337" i="19"/>
  <c r="L273" i="20"/>
  <c r="L271" i="20" s="1"/>
  <c r="P329" i="15"/>
  <c r="M290" i="14"/>
  <c r="P290" i="14" s="1"/>
  <c r="L292" i="13"/>
  <c r="O292" i="13" s="1"/>
  <c r="L292" i="5"/>
  <c r="O292" i="5" s="1"/>
  <c r="P43" i="5"/>
  <c r="L222" i="20"/>
  <c r="O222" i="20" s="1"/>
  <c r="K423" i="1"/>
  <c r="N11" i="18"/>
  <c r="N9" i="18" s="1"/>
  <c r="L222" i="17"/>
  <c r="O222" i="17" s="1"/>
  <c r="L120" i="16"/>
  <c r="L118" i="16" s="1"/>
  <c r="O118" i="16" s="1"/>
  <c r="L331" i="8"/>
  <c r="O331" i="8" s="1"/>
  <c r="M118" i="5"/>
  <c r="P118" i="5" s="1"/>
  <c r="P140" i="6"/>
  <c r="P142" i="6"/>
  <c r="N250" i="6"/>
  <c r="N37" i="6" s="1"/>
  <c r="O142" i="6"/>
  <c r="K663" i="1"/>
  <c r="L120" i="21"/>
  <c r="L118" i="21" s="1"/>
  <c r="O118" i="21" s="1"/>
  <c r="O224" i="16"/>
  <c r="K138" i="1"/>
  <c r="K455" i="1"/>
  <c r="L252" i="11"/>
  <c r="O252" i="11" s="1"/>
  <c r="N11" i="9"/>
  <c r="N9" i="9" s="1"/>
  <c r="K465" i="1"/>
  <c r="N43" i="1"/>
  <c r="N41" i="1" s="1"/>
  <c r="O294" i="19"/>
  <c r="L120" i="17"/>
  <c r="L118" i="17" s="1"/>
  <c r="O118" i="17" s="1"/>
  <c r="L43" i="11"/>
  <c r="L41" i="11" s="1"/>
  <c r="L638" i="10"/>
  <c r="O638" i="10" s="1"/>
  <c r="K473" i="1"/>
  <c r="K620" i="1"/>
  <c r="N66" i="12"/>
  <c r="P66" i="12" s="1"/>
  <c r="P331" i="6"/>
  <c r="O45" i="2"/>
  <c r="K597" i="1"/>
  <c r="K189" i="1"/>
  <c r="P68" i="15"/>
  <c r="L68" i="8"/>
  <c r="L66" i="8" s="1"/>
  <c r="O120" i="17"/>
  <c r="L331" i="3"/>
  <c r="L329" i="3" s="1"/>
  <c r="K85" i="1"/>
  <c r="P222" i="17"/>
  <c r="L68" i="9"/>
  <c r="O68" i="9" s="1"/>
  <c r="L331" i="10"/>
  <c r="O331" i="10" s="1"/>
  <c r="K630" i="1"/>
  <c r="K417" i="1"/>
  <c r="P122" i="1"/>
  <c r="L312" i="10"/>
  <c r="O312" i="10" s="1"/>
  <c r="K650" i="1"/>
  <c r="K109" i="1"/>
  <c r="L96" i="16"/>
  <c r="O96" i="16" s="1"/>
  <c r="M331" i="19"/>
  <c r="P331" i="19" s="1"/>
  <c r="M310" i="17"/>
  <c r="P310" i="17" s="1"/>
  <c r="P250" i="15"/>
  <c r="O224" i="15"/>
  <c r="L120" i="11"/>
  <c r="O120" i="11" s="1"/>
  <c r="L68" i="2"/>
  <c r="L66" i="2" s="1"/>
  <c r="O66" i="2" s="1"/>
  <c r="O349" i="1"/>
  <c r="N20" i="4"/>
  <c r="N18" i="4" s="1"/>
  <c r="N20" i="10"/>
  <c r="N18" i="10" s="1"/>
  <c r="K432" i="1"/>
  <c r="K380" i="1"/>
  <c r="K402" i="1"/>
  <c r="K464" i="1"/>
  <c r="K435" i="1"/>
  <c r="L14" i="4"/>
  <c r="O14" i="4" s="1"/>
  <c r="O275" i="17"/>
  <c r="P222" i="11"/>
  <c r="M250" i="10"/>
  <c r="P250" i="10" s="1"/>
  <c r="P142" i="8"/>
  <c r="P68" i="14"/>
  <c r="K304" i="1"/>
  <c r="K429" i="1"/>
  <c r="K628" i="1"/>
  <c r="K267" i="1"/>
  <c r="K401" i="1"/>
  <c r="M310" i="12"/>
  <c r="P310" i="12" s="1"/>
  <c r="K113" i="1"/>
  <c r="J671" i="1"/>
  <c r="K671" i="1" s="1"/>
  <c r="K88" i="1"/>
  <c r="K632" i="1"/>
  <c r="K428" i="1"/>
  <c r="K396" i="1"/>
  <c r="K86" i="1"/>
  <c r="K595" i="1"/>
  <c r="L142" i="18"/>
  <c r="O142" i="18" s="1"/>
  <c r="L331" i="11"/>
  <c r="O331" i="11" s="1"/>
  <c r="O294" i="6"/>
  <c r="L273" i="15"/>
  <c r="O273" i="15" s="1"/>
  <c r="L43" i="5"/>
  <c r="O43" i="5" s="1"/>
  <c r="P22" i="5"/>
  <c r="O102" i="1"/>
  <c r="K349" i="1"/>
  <c r="M66" i="4"/>
  <c r="P66" i="4" s="1"/>
  <c r="P294" i="1"/>
  <c r="O57" i="18"/>
  <c r="O34" i="16"/>
  <c r="M250" i="11"/>
  <c r="P250" i="11" s="1"/>
  <c r="K328" i="1"/>
  <c r="K397" i="1"/>
  <c r="P312" i="20"/>
  <c r="P222" i="15"/>
  <c r="M271" i="8"/>
  <c r="P271" i="8" s="1"/>
  <c r="O122" i="7"/>
  <c r="N29" i="5"/>
  <c r="L96" i="14"/>
  <c r="O96" i="14" s="1"/>
  <c r="L273" i="10"/>
  <c r="L271" i="10" s="1"/>
  <c r="P142" i="14"/>
  <c r="L331" i="4"/>
  <c r="L329" i="4" s="1"/>
  <c r="O329" i="4" s="1"/>
  <c r="O144" i="5"/>
  <c r="O333" i="14"/>
  <c r="O70" i="20"/>
  <c r="L55" i="20"/>
  <c r="O55" i="20" s="1"/>
  <c r="L142" i="3"/>
  <c r="L140" i="3" s="1"/>
  <c r="O140" i="3" s="1"/>
  <c r="P22" i="17"/>
  <c r="O254" i="16"/>
  <c r="P220" i="12"/>
  <c r="L292" i="4"/>
  <c r="O292" i="4" s="1"/>
  <c r="O292" i="17"/>
  <c r="L290" i="17"/>
  <c r="O290" i="17" s="1"/>
  <c r="P55" i="13"/>
  <c r="L222" i="7"/>
  <c r="O661" i="1"/>
  <c r="L68" i="12"/>
  <c r="O275" i="16"/>
  <c r="O57" i="14"/>
  <c r="M250" i="12"/>
  <c r="P250" i="12" s="1"/>
  <c r="O45" i="20"/>
  <c r="O144" i="19"/>
  <c r="O30" i="18"/>
  <c r="K370" i="1"/>
  <c r="K564" i="1"/>
  <c r="O32" i="18"/>
  <c r="N11" i="3"/>
  <c r="N9" i="3" s="1"/>
  <c r="O57" i="15"/>
  <c r="K425" i="1"/>
  <c r="O294" i="17"/>
  <c r="M26" i="14"/>
  <c r="M20" i="14" s="1"/>
  <c r="M18" i="14" s="1"/>
  <c r="O34" i="3"/>
  <c r="O584" i="1"/>
  <c r="M43" i="14"/>
  <c r="M41" i="14" s="1"/>
  <c r="P41" i="14" s="1"/>
  <c r="O96" i="10"/>
  <c r="O580" i="1"/>
  <c r="P250" i="20"/>
  <c r="L96" i="21"/>
  <c r="L94" i="21" s="1"/>
  <c r="O94" i="21" s="1"/>
  <c r="M96" i="13"/>
  <c r="N94" i="10"/>
  <c r="O94" i="10" s="1"/>
  <c r="L252" i="6"/>
  <c r="O252" i="6" s="1"/>
  <c r="L331" i="5"/>
  <c r="L329" i="5" s="1"/>
  <c r="O329" i="5" s="1"/>
  <c r="L312" i="5"/>
  <c r="O312" i="5" s="1"/>
  <c r="O45" i="9"/>
  <c r="O457" i="1"/>
  <c r="M118" i="3"/>
  <c r="P118" i="3" s="1"/>
  <c r="O57" i="13"/>
  <c r="L68" i="10"/>
  <c r="L66" i="10" s="1"/>
  <c r="O66" i="10" s="1"/>
  <c r="O665" i="1"/>
  <c r="O254" i="21"/>
  <c r="L68" i="21"/>
  <c r="O142" i="19"/>
  <c r="N28" i="15"/>
  <c r="O31" i="12"/>
  <c r="P55" i="4"/>
  <c r="M290" i="5"/>
  <c r="P290" i="5" s="1"/>
  <c r="L68" i="3"/>
  <c r="L142" i="2"/>
  <c r="L140" i="2" s="1"/>
  <c r="P333" i="1"/>
  <c r="K83" i="1"/>
  <c r="L312" i="14"/>
  <c r="O312" i="14" s="1"/>
  <c r="L29" i="12"/>
  <c r="O29" i="12" s="1"/>
  <c r="M331" i="8"/>
  <c r="P331" i="8" s="1"/>
  <c r="P55" i="10"/>
  <c r="K398" i="1"/>
  <c r="K499" i="1"/>
  <c r="O34" i="17"/>
  <c r="M290" i="16"/>
  <c r="P290" i="16" s="1"/>
  <c r="N11" i="15"/>
  <c r="N9" i="15" s="1"/>
  <c r="L43" i="13"/>
  <c r="L41" i="13" s="1"/>
  <c r="O34" i="13"/>
  <c r="O11" i="12"/>
  <c r="L55" i="9"/>
  <c r="O55" i="9" s="1"/>
  <c r="K350" i="1"/>
  <c r="K112" i="1"/>
  <c r="O254" i="2"/>
  <c r="P55" i="5"/>
  <c r="K631" i="1"/>
  <c r="O555" i="1"/>
  <c r="O650" i="1"/>
  <c r="K450" i="1"/>
  <c r="P53" i="5"/>
  <c r="K285" i="1"/>
  <c r="O649" i="1"/>
  <c r="O599" i="1"/>
  <c r="O98" i="7"/>
  <c r="K216" i="1"/>
  <c r="P252" i="20"/>
  <c r="P55" i="16"/>
  <c r="M66" i="7"/>
  <c r="P66" i="7" s="1"/>
  <c r="P222" i="4"/>
  <c r="O406" i="1"/>
  <c r="K200" i="1"/>
  <c r="L55" i="10"/>
  <c r="O55" i="10" s="1"/>
  <c r="P55" i="8"/>
  <c r="P220" i="4"/>
  <c r="K573" i="1"/>
  <c r="L292" i="3"/>
  <c r="O292" i="3" s="1"/>
  <c r="O401" i="1"/>
  <c r="K376" i="1"/>
  <c r="K80" i="1"/>
  <c r="O70" i="11"/>
  <c r="N11" i="10"/>
  <c r="N9" i="10" s="1"/>
  <c r="K249" i="1"/>
  <c r="N28" i="8"/>
  <c r="P98" i="1"/>
  <c r="L55" i="21"/>
  <c r="O55" i="21" s="1"/>
  <c r="O224" i="18"/>
  <c r="L273" i="4"/>
  <c r="O273" i="4" s="1"/>
  <c r="P273" i="5"/>
  <c r="K427" i="1"/>
  <c r="K375" i="1"/>
  <c r="K164" i="1"/>
  <c r="O352" i="1"/>
  <c r="K498" i="1"/>
  <c r="K87" i="1"/>
  <c r="L222" i="8"/>
  <c r="O222" i="8" s="1"/>
  <c r="P222" i="6"/>
  <c r="K589" i="1"/>
  <c r="L273" i="2"/>
  <c r="L271" i="2" s="1"/>
  <c r="O271" i="2" s="1"/>
  <c r="P120" i="20"/>
  <c r="K466" i="1"/>
  <c r="K341" i="1"/>
  <c r="O537" i="1"/>
  <c r="K430" i="1"/>
  <c r="K186" i="1"/>
  <c r="K204" i="1"/>
  <c r="N250" i="21"/>
  <c r="P250" i="21" s="1"/>
  <c r="O224" i="21"/>
  <c r="N11" i="20"/>
  <c r="N9" i="20" s="1"/>
  <c r="M271" i="18"/>
  <c r="P271" i="18" s="1"/>
  <c r="L142" i="17"/>
  <c r="O142" i="17" s="1"/>
  <c r="O273" i="14"/>
  <c r="O314" i="13"/>
  <c r="O45" i="4"/>
  <c r="K497" i="1"/>
  <c r="N28" i="20"/>
  <c r="K372" i="1"/>
  <c r="L142" i="16"/>
  <c r="O142" i="16" s="1"/>
  <c r="N220" i="10"/>
  <c r="P220" i="10" s="1"/>
  <c r="L96" i="8"/>
  <c r="O96" i="8" s="1"/>
  <c r="P142" i="7"/>
  <c r="O144" i="6"/>
  <c r="N28" i="18"/>
  <c r="L331" i="16"/>
  <c r="O331" i="16" s="1"/>
  <c r="O53" i="14"/>
  <c r="P140" i="7"/>
  <c r="L142" i="4"/>
  <c r="O142" i="4" s="1"/>
  <c r="P273" i="11"/>
  <c r="O57" i="5"/>
  <c r="L331" i="6"/>
  <c r="O30" i="4"/>
  <c r="P222" i="19"/>
  <c r="O55" i="14"/>
  <c r="P142" i="10"/>
  <c r="L55" i="12"/>
  <c r="L53" i="12" s="1"/>
  <c r="P55" i="7"/>
  <c r="L222" i="4"/>
  <c r="K309" i="1"/>
  <c r="K64" i="1"/>
  <c r="K551" i="1"/>
  <c r="O455" i="1"/>
  <c r="O333" i="21"/>
  <c r="L273" i="18"/>
  <c r="O273" i="18" s="1"/>
  <c r="L68" i="18"/>
  <c r="O68" i="18" s="1"/>
  <c r="M118" i="15"/>
  <c r="P118" i="15" s="1"/>
  <c r="O144" i="15"/>
  <c r="P271" i="11"/>
  <c r="P140" i="10"/>
  <c r="P53" i="7"/>
  <c r="O224" i="5"/>
  <c r="O459" i="1"/>
  <c r="O566" i="1"/>
  <c r="N28" i="9"/>
  <c r="O292" i="19"/>
  <c r="L290" i="19"/>
  <c r="O290" i="19" s="1"/>
  <c r="O45" i="19"/>
  <c r="M118" i="19"/>
  <c r="P118" i="19" s="1"/>
  <c r="L142" i="9"/>
  <c r="O142" i="9" s="1"/>
  <c r="O32" i="4"/>
  <c r="K229" i="1"/>
  <c r="O55" i="11"/>
  <c r="O142" i="8"/>
  <c r="L22" i="5"/>
  <c r="O22" i="5" s="1"/>
  <c r="O26" i="11"/>
  <c r="N11" i="13"/>
  <c r="N9" i="13" s="1"/>
  <c r="N33" i="1"/>
  <c r="N13" i="1" s="1"/>
  <c r="K132" i="1"/>
  <c r="O439" i="1"/>
  <c r="O383" i="1"/>
  <c r="O404" i="1"/>
  <c r="K133" i="1"/>
  <c r="K201" i="1"/>
  <c r="K419" i="1"/>
  <c r="L273" i="12"/>
  <c r="O273" i="12" s="1"/>
  <c r="O94" i="7"/>
  <c r="L312" i="8"/>
  <c r="O312" i="8" s="1"/>
  <c r="P142" i="4"/>
  <c r="L96" i="18"/>
  <c r="O96" i="18" s="1"/>
  <c r="K185" i="1"/>
  <c r="K580" i="1"/>
  <c r="K173" i="1"/>
  <c r="K266" i="1"/>
  <c r="O55" i="8"/>
  <c r="O74" i="1"/>
  <c r="L11" i="21"/>
  <c r="O11" i="21" s="1"/>
  <c r="L252" i="13"/>
  <c r="O252" i="13" s="1"/>
  <c r="M26" i="7"/>
  <c r="M16" i="7" s="1"/>
  <c r="P16" i="7" s="1"/>
  <c r="N12" i="4"/>
  <c r="O96" i="7"/>
  <c r="K84" i="1"/>
  <c r="K65" i="1"/>
  <c r="L120" i="20"/>
  <c r="L118" i="20" s="1"/>
  <c r="O118" i="20" s="1"/>
  <c r="L252" i="19"/>
  <c r="O252" i="19" s="1"/>
  <c r="L14" i="17"/>
  <c r="O14" i="17" s="1"/>
  <c r="P53" i="10"/>
  <c r="M43" i="7"/>
  <c r="P43" i="7" s="1"/>
  <c r="N11" i="6"/>
  <c r="N9" i="6" s="1"/>
  <c r="P312" i="2"/>
  <c r="O533" i="1"/>
  <c r="K93" i="1"/>
  <c r="K635" i="1"/>
  <c r="O601" i="1"/>
  <c r="K474" i="1"/>
  <c r="O57" i="11"/>
  <c r="P118" i="8"/>
  <c r="O70" i="5"/>
  <c r="K621" i="1"/>
  <c r="K626" i="1"/>
  <c r="K381" i="1"/>
  <c r="L250" i="10"/>
  <c r="O250" i="10" s="1"/>
  <c r="O252" i="10"/>
  <c r="L331" i="20"/>
  <c r="O331" i="20" s="1"/>
  <c r="N11" i="16"/>
  <c r="N9" i="16" s="1"/>
  <c r="P337" i="14"/>
  <c r="L16" i="11"/>
  <c r="O16" i="11" s="1"/>
  <c r="L120" i="8"/>
  <c r="O120" i="8" s="1"/>
  <c r="O98" i="11"/>
  <c r="N10" i="4"/>
  <c r="P22" i="20"/>
  <c r="L29" i="21"/>
  <c r="O29" i="21" s="1"/>
  <c r="O34" i="15"/>
  <c r="O16" i="7"/>
  <c r="L273" i="6"/>
  <c r="O273" i="6" s="1"/>
  <c r="O57" i="8"/>
  <c r="O45" i="6"/>
  <c r="O122" i="3"/>
  <c r="L22" i="3"/>
  <c r="L12" i="3" s="1"/>
  <c r="L252" i="3"/>
  <c r="L250" i="3" s="1"/>
  <c r="O250" i="3" s="1"/>
  <c r="L142" i="14"/>
  <c r="K219" i="1"/>
  <c r="O66" i="20"/>
  <c r="P43" i="19"/>
  <c r="M250" i="16"/>
  <c r="P250" i="16" s="1"/>
  <c r="P271" i="16"/>
  <c r="L222" i="12"/>
  <c r="O222" i="12" s="1"/>
  <c r="O34" i="12"/>
  <c r="O26" i="7"/>
  <c r="O122" i="4"/>
  <c r="L252" i="4"/>
  <c r="O252" i="4" s="1"/>
  <c r="O254" i="10"/>
  <c r="K108" i="1"/>
  <c r="K343" i="1"/>
  <c r="K482" i="1"/>
  <c r="K593" i="1"/>
  <c r="K82" i="1"/>
  <c r="K591" i="1"/>
  <c r="K665" i="1"/>
  <c r="O337" i="1"/>
  <c r="K306" i="1"/>
  <c r="K340" i="1"/>
  <c r="K264" i="1"/>
  <c r="O49" i="1"/>
  <c r="M290" i="17"/>
  <c r="P290" i="17" s="1"/>
  <c r="L55" i="17"/>
  <c r="O55" i="17" s="1"/>
  <c r="O252" i="8"/>
  <c r="L312" i="7"/>
  <c r="O312" i="7" s="1"/>
  <c r="N11" i="8"/>
  <c r="N9" i="8" s="1"/>
  <c r="O250" i="20"/>
  <c r="P102" i="11"/>
  <c r="P70" i="1"/>
  <c r="O671" i="1"/>
  <c r="O273" i="19"/>
  <c r="O224" i="10"/>
  <c r="P68" i="5"/>
  <c r="L140" i="10"/>
  <c r="O140" i="10" s="1"/>
  <c r="O142" i="10"/>
  <c r="M26" i="17"/>
  <c r="M20" i="17" s="1"/>
  <c r="L222" i="14"/>
  <c r="L220" i="14" s="1"/>
  <c r="O220" i="14" s="1"/>
  <c r="O122" i="15"/>
  <c r="O314" i="11"/>
  <c r="L273" i="9"/>
  <c r="O273" i="9" s="1"/>
  <c r="L312" i="4"/>
  <c r="O312" i="4" s="1"/>
  <c r="K176" i="1"/>
  <c r="O551" i="1"/>
  <c r="O68" i="5"/>
  <c r="O142" i="21"/>
  <c r="O120" i="2"/>
  <c r="L14" i="20"/>
  <c r="L68" i="17"/>
  <c r="O70" i="15"/>
  <c r="P96" i="15"/>
  <c r="M53" i="11"/>
  <c r="P53" i="11" s="1"/>
  <c r="M290" i="13"/>
  <c r="P290" i="13" s="1"/>
  <c r="M331" i="5"/>
  <c r="P331" i="5" s="1"/>
  <c r="L43" i="7"/>
  <c r="O43" i="7" s="1"/>
  <c r="L222" i="2"/>
  <c r="O222" i="2" s="1"/>
  <c r="L96" i="6"/>
  <c r="O96" i="6" s="1"/>
  <c r="L96" i="3"/>
  <c r="O96" i="3" s="1"/>
  <c r="O568" i="1"/>
  <c r="N12" i="6"/>
  <c r="N10" i="6" s="1"/>
  <c r="K421" i="1"/>
  <c r="K158" i="1"/>
  <c r="L120" i="18"/>
  <c r="O120" i="18" s="1"/>
  <c r="N11" i="19"/>
  <c r="N9" i="19" s="1"/>
  <c r="N28" i="19"/>
  <c r="O68" i="15"/>
  <c r="O98" i="13"/>
  <c r="N66" i="11"/>
  <c r="P66" i="11" s="1"/>
  <c r="P252" i="8"/>
  <c r="O32" i="6"/>
  <c r="L23" i="1"/>
  <c r="O23" i="1" s="1"/>
  <c r="L11" i="13"/>
  <c r="P273" i="9"/>
  <c r="P314" i="1"/>
  <c r="K622" i="1"/>
  <c r="K92" i="1"/>
  <c r="K213" i="1"/>
  <c r="L273" i="21"/>
  <c r="L271" i="21" s="1"/>
  <c r="O271" i="21" s="1"/>
  <c r="L292" i="20"/>
  <c r="L290" i="20" s="1"/>
  <c r="O290" i="20" s="1"/>
  <c r="L331" i="18"/>
  <c r="O331" i="18" s="1"/>
  <c r="L312" i="18"/>
  <c r="O312" i="18" s="1"/>
  <c r="L312" i="17"/>
  <c r="O312" i="17" s="1"/>
  <c r="P96" i="16"/>
  <c r="M329" i="14"/>
  <c r="P329" i="14" s="1"/>
  <c r="L29" i="13"/>
  <c r="O29" i="13" s="1"/>
  <c r="P22" i="12"/>
  <c r="P55" i="6"/>
  <c r="O30" i="6"/>
  <c r="L55" i="3"/>
  <c r="O55" i="3" s="1"/>
  <c r="K426" i="1"/>
  <c r="O640" i="3"/>
  <c r="P53" i="20"/>
  <c r="O142" i="15"/>
  <c r="O68" i="11"/>
  <c r="P68" i="10"/>
  <c r="O144" i="10"/>
  <c r="N118" i="2"/>
  <c r="P118" i="2" s="1"/>
  <c r="O16" i="20"/>
  <c r="P96" i="21"/>
  <c r="M96" i="17"/>
  <c r="P96" i="17" s="1"/>
  <c r="P140" i="15"/>
  <c r="O140" i="15"/>
  <c r="M118" i="14"/>
  <c r="P118" i="14" s="1"/>
  <c r="L120" i="13"/>
  <c r="O120" i="13" s="1"/>
  <c r="P66" i="5"/>
  <c r="O66" i="5"/>
  <c r="K377" i="1"/>
  <c r="P55" i="20"/>
  <c r="P250" i="8"/>
  <c r="N28" i="6"/>
  <c r="O34" i="18"/>
  <c r="L290" i="21"/>
  <c r="O290" i="21" s="1"/>
  <c r="O292" i="21"/>
  <c r="N12" i="20"/>
  <c r="N10" i="20" s="1"/>
  <c r="L29" i="19"/>
  <c r="O29" i="19" s="1"/>
  <c r="P43" i="17"/>
  <c r="O31" i="17"/>
  <c r="L292" i="9"/>
  <c r="O292" i="9" s="1"/>
  <c r="L142" i="11"/>
  <c r="O142" i="11" s="1"/>
  <c r="P273" i="10"/>
  <c r="O26" i="6"/>
  <c r="K618" i="1"/>
  <c r="O70" i="7"/>
  <c r="L312" i="3"/>
  <c r="O312" i="3" s="1"/>
  <c r="K265" i="1"/>
  <c r="N20" i="5"/>
  <c r="N18" i="5" s="1"/>
  <c r="N271" i="20"/>
  <c r="P271" i="20" s="1"/>
  <c r="K324" i="1"/>
  <c r="K648" i="1"/>
  <c r="K81" i="1"/>
  <c r="I367" i="1"/>
  <c r="K367" i="1" s="1"/>
  <c r="L11" i="17"/>
  <c r="L9" i="17" s="1"/>
  <c r="L292" i="8"/>
  <c r="O292" i="8" s="1"/>
  <c r="P290" i="6"/>
  <c r="O275" i="7"/>
  <c r="L96" i="4"/>
  <c r="O96" i="4" s="1"/>
  <c r="P273" i="2"/>
  <c r="N271" i="10"/>
  <c r="K617" i="1"/>
  <c r="K449" i="1"/>
  <c r="O254" i="20"/>
  <c r="O144" i="21"/>
  <c r="N14" i="18"/>
  <c r="O640" i="21"/>
  <c r="L312" i="20"/>
  <c r="O312" i="20" s="1"/>
  <c r="P66" i="18"/>
  <c r="M66" i="15"/>
  <c r="P66" i="15" s="1"/>
  <c r="N140" i="12"/>
  <c r="P140" i="12" s="1"/>
  <c r="P22" i="13"/>
  <c r="P271" i="9"/>
  <c r="L13" i="9"/>
  <c r="O13" i="9" s="1"/>
  <c r="O34" i="7"/>
  <c r="L331" i="7"/>
  <c r="O331" i="7" s="1"/>
  <c r="P292" i="6"/>
  <c r="M94" i="4"/>
  <c r="P94" i="4" s="1"/>
  <c r="L292" i="15"/>
  <c r="L290" i="15" s="1"/>
  <c r="O290" i="15" s="1"/>
  <c r="K117" i="1"/>
  <c r="O122" i="2"/>
  <c r="K613" i="1"/>
  <c r="K199" i="1"/>
  <c r="N140" i="21"/>
  <c r="P140" i="21" s="1"/>
  <c r="O53" i="15"/>
  <c r="O333" i="13"/>
  <c r="L43" i="12"/>
  <c r="O43" i="12" s="1"/>
  <c r="O254" i="12"/>
  <c r="O144" i="8"/>
  <c r="M26" i="6"/>
  <c r="P26" i="6" s="1"/>
  <c r="O292" i="6"/>
  <c r="K614" i="1"/>
  <c r="N22" i="1"/>
  <c r="K431" i="1"/>
  <c r="N31" i="1"/>
  <c r="N29" i="1" s="1"/>
  <c r="O294" i="21"/>
  <c r="K616" i="1"/>
  <c r="K619" i="1"/>
  <c r="K612" i="1"/>
  <c r="J651" i="1"/>
  <c r="K651" i="1" s="1"/>
  <c r="O32" i="21"/>
  <c r="L11" i="19"/>
  <c r="L9" i="19" s="1"/>
  <c r="P331" i="18"/>
  <c r="M26" i="18"/>
  <c r="M20" i="18" s="1"/>
  <c r="M18" i="18" s="1"/>
  <c r="M43" i="18"/>
  <c r="P43" i="18" s="1"/>
  <c r="P55" i="15"/>
  <c r="O34" i="14"/>
  <c r="O55" i="15"/>
  <c r="N20" i="15"/>
  <c r="N18" i="15" s="1"/>
  <c r="O290" i="6"/>
  <c r="L24" i="1"/>
  <c r="O24" i="1" s="1"/>
  <c r="O26" i="20"/>
  <c r="K615" i="1"/>
  <c r="O55" i="5"/>
  <c r="L53" i="5"/>
  <c r="O53" i="5" s="1"/>
  <c r="P142" i="5"/>
  <c r="P142" i="15"/>
  <c r="N37" i="17"/>
  <c r="O252" i="2"/>
  <c r="O43" i="20"/>
  <c r="L22" i="21"/>
  <c r="L12" i="21" s="1"/>
  <c r="L140" i="8"/>
  <c r="O140" i="8" s="1"/>
  <c r="O34" i="20"/>
  <c r="L314" i="1"/>
  <c r="O314" i="1" s="1"/>
  <c r="O142" i="5"/>
  <c r="L140" i="5"/>
  <c r="O140" i="5" s="1"/>
  <c r="O32" i="15"/>
  <c r="P220" i="6"/>
  <c r="P250" i="14"/>
  <c r="P329" i="4"/>
  <c r="N41" i="11"/>
  <c r="P41" i="11" s="1"/>
  <c r="M96" i="6"/>
  <c r="O31" i="6"/>
  <c r="L11" i="6"/>
  <c r="P142" i="13"/>
  <c r="L53" i="8"/>
  <c r="O53" i="8" s="1"/>
  <c r="L250" i="8"/>
  <c r="O250" i="8" s="1"/>
  <c r="P140" i="5"/>
  <c r="M53" i="6"/>
  <c r="P53" i="6" s="1"/>
  <c r="L118" i="15"/>
  <c r="O118" i="15" s="1"/>
  <c r="L118" i="14"/>
  <c r="O118" i="14" s="1"/>
  <c r="M271" i="13"/>
  <c r="P271" i="13" s="1"/>
  <c r="O252" i="20"/>
  <c r="P273" i="19"/>
  <c r="P142" i="16"/>
  <c r="N28" i="16"/>
  <c r="P68" i="18"/>
  <c r="O254" i="18"/>
  <c r="L252" i="18"/>
  <c r="O329" i="21"/>
  <c r="P271" i="19"/>
  <c r="P140" i="16"/>
  <c r="L66" i="7"/>
  <c r="O66" i="7" s="1"/>
  <c r="N14" i="20"/>
  <c r="N20" i="20"/>
  <c r="N18" i="20" s="1"/>
  <c r="N140" i="18"/>
  <c r="P140" i="18" s="1"/>
  <c r="O70" i="14"/>
  <c r="L68" i="14"/>
  <c r="L66" i="14" s="1"/>
  <c r="P66" i="20"/>
  <c r="O55" i="19"/>
  <c r="N644" i="1"/>
  <c r="N640" i="1" s="1"/>
  <c r="N638" i="1" s="1"/>
  <c r="N636" i="1" s="1"/>
  <c r="K623" i="1"/>
  <c r="L53" i="19"/>
  <c r="O66" i="15"/>
  <c r="L14" i="10"/>
  <c r="O14" i="10" s="1"/>
  <c r="O26" i="3"/>
  <c r="O98" i="12"/>
  <c r="L96" i="12"/>
  <c r="P222" i="12"/>
  <c r="O16" i="19"/>
  <c r="M41" i="19"/>
  <c r="P41" i="19" s="1"/>
  <c r="L140" i="19"/>
  <c r="O140" i="19" s="1"/>
  <c r="P26" i="19"/>
  <c r="M220" i="17"/>
  <c r="P220" i="17" s="1"/>
  <c r="P94" i="15"/>
  <c r="P222" i="9"/>
  <c r="O34" i="5"/>
  <c r="L640" i="1"/>
  <c r="L638" i="1" s="1"/>
  <c r="L29" i="20"/>
  <c r="O29" i="20" s="1"/>
  <c r="O31" i="20"/>
  <c r="O333" i="12"/>
  <c r="L331" i="12"/>
  <c r="O224" i="6"/>
  <c r="L222" i="6"/>
  <c r="M94" i="21"/>
  <c r="P94" i="21" s="1"/>
  <c r="L310" i="16"/>
  <c r="O310" i="16" s="1"/>
  <c r="M118" i="6"/>
  <c r="P118" i="6" s="1"/>
  <c r="P252" i="15"/>
  <c r="N11" i="7"/>
  <c r="N9" i="7" s="1"/>
  <c r="L252" i="7"/>
  <c r="O254" i="7"/>
  <c r="L273" i="5"/>
  <c r="O275" i="5"/>
  <c r="N20" i="7"/>
  <c r="N18" i="7" s="1"/>
  <c r="P331" i="4"/>
  <c r="M250" i="4"/>
  <c r="P250" i="4" s="1"/>
  <c r="O314" i="19"/>
  <c r="L312" i="19"/>
  <c r="O45" i="21"/>
  <c r="L43" i="21"/>
  <c r="N11" i="17"/>
  <c r="N9" i="17" s="1"/>
  <c r="N29" i="17"/>
  <c r="N28" i="17" s="1"/>
  <c r="O32" i="16"/>
  <c r="L30" i="16"/>
  <c r="O30" i="16" s="1"/>
  <c r="L222" i="9"/>
  <c r="O224" i="9"/>
  <c r="O331" i="21"/>
  <c r="L271" i="19"/>
  <c r="O271" i="19" s="1"/>
  <c r="M250" i="18"/>
  <c r="P250" i="18" s="1"/>
  <c r="N37" i="15"/>
  <c r="L271" i="14"/>
  <c r="O271" i="14" s="1"/>
  <c r="N53" i="13"/>
  <c r="P53" i="13" s="1"/>
  <c r="N37" i="7"/>
  <c r="L96" i="19"/>
  <c r="O98" i="19"/>
  <c r="O30" i="21"/>
  <c r="L22" i="20"/>
  <c r="L12" i="20" s="1"/>
  <c r="O333" i="9"/>
  <c r="L331" i="9"/>
  <c r="O535" i="1"/>
  <c r="N32" i="1"/>
  <c r="N30" i="1" s="1"/>
  <c r="K625" i="1"/>
  <c r="K624" i="1"/>
  <c r="P53" i="16"/>
  <c r="P120" i="8"/>
  <c r="N20" i="3"/>
  <c r="N18" i="3" s="1"/>
  <c r="L142" i="7"/>
  <c r="O144" i="7"/>
  <c r="L120" i="5"/>
  <c r="O122" i="5"/>
  <c r="P43" i="21"/>
  <c r="N37" i="16"/>
  <c r="L13" i="16"/>
  <c r="O13" i="16" s="1"/>
  <c r="P220" i="11"/>
  <c r="L22" i="12"/>
  <c r="L12" i="12" s="1"/>
  <c r="N120" i="1"/>
  <c r="N37" i="5"/>
  <c r="P331" i="15"/>
  <c r="L13" i="13"/>
  <c r="O13" i="13" s="1"/>
  <c r="O23" i="13"/>
  <c r="O98" i="5"/>
  <c r="L96" i="5"/>
  <c r="L94" i="5" s="1"/>
  <c r="O94" i="5" s="1"/>
  <c r="O16" i="3"/>
  <c r="L29" i="18"/>
  <c r="L11" i="18"/>
  <c r="O11" i="18" s="1"/>
  <c r="N29" i="14"/>
  <c r="N28" i="14" s="1"/>
  <c r="N11" i="14"/>
  <c r="N9" i="14" s="1"/>
  <c r="N66" i="14"/>
  <c r="P66" i="14" s="1"/>
  <c r="L292" i="11"/>
  <c r="O294" i="11"/>
  <c r="L9" i="8"/>
  <c r="O11" i="8"/>
  <c r="P43" i="13"/>
  <c r="M41" i="13"/>
  <c r="P96" i="3"/>
  <c r="M94" i="3"/>
  <c r="P94" i="3" s="1"/>
  <c r="O11" i="7"/>
  <c r="L9" i="7"/>
  <c r="P140" i="3"/>
  <c r="L638" i="20"/>
  <c r="O640" i="20"/>
  <c r="L14" i="13"/>
  <c r="O14" i="13" s="1"/>
  <c r="O24" i="13"/>
  <c r="M9" i="10"/>
  <c r="P11" i="10"/>
  <c r="O120" i="9"/>
  <c r="L118" i="9"/>
  <c r="O118" i="9" s="1"/>
  <c r="O70" i="6"/>
  <c r="L68" i="6"/>
  <c r="P49" i="16"/>
  <c r="M26" i="16"/>
  <c r="M20" i="16" s="1"/>
  <c r="O23" i="11"/>
  <c r="L13" i="11"/>
  <c r="O13" i="11" s="1"/>
  <c r="N271" i="12"/>
  <c r="P271" i="12" s="1"/>
  <c r="P273" i="12"/>
  <c r="O24" i="9"/>
  <c r="L14" i="9"/>
  <c r="O14" i="9" s="1"/>
  <c r="O24" i="5"/>
  <c r="L14" i="5"/>
  <c r="O14" i="5" s="1"/>
  <c r="P19" i="7"/>
  <c r="O120" i="4"/>
  <c r="L118" i="4"/>
  <c r="O294" i="2"/>
  <c r="L292" i="2"/>
  <c r="L294" i="1"/>
  <c r="O294" i="1" s="1"/>
  <c r="P331" i="20"/>
  <c r="M329" i="20"/>
  <c r="P329" i="20" s="1"/>
  <c r="O24" i="21"/>
  <c r="L14" i="21"/>
  <c r="O14" i="21" s="1"/>
  <c r="M53" i="21"/>
  <c r="P53" i="21" s="1"/>
  <c r="P220" i="20"/>
  <c r="P26" i="21"/>
  <c r="M16" i="21"/>
  <c r="P16" i="21" s="1"/>
  <c r="M290" i="20"/>
  <c r="P290" i="20" s="1"/>
  <c r="O43" i="19"/>
  <c r="L41" i="19"/>
  <c r="P292" i="19"/>
  <c r="M290" i="19"/>
  <c r="P290" i="19" s="1"/>
  <c r="O640" i="17"/>
  <c r="L638" i="17"/>
  <c r="P16" i="19"/>
  <c r="O26" i="19"/>
  <c r="L329" i="19"/>
  <c r="O329" i="19" s="1"/>
  <c r="P312" i="18"/>
  <c r="M310" i="18"/>
  <c r="P310" i="18" s="1"/>
  <c r="O23" i="18"/>
  <c r="L13" i="18"/>
  <c r="O13" i="18" s="1"/>
  <c r="L271" i="17"/>
  <c r="O271" i="17" s="1"/>
  <c r="O220" i="15"/>
  <c r="O252" i="17"/>
  <c r="L250" i="17"/>
  <c r="O250" i="17" s="1"/>
  <c r="M331" i="16"/>
  <c r="P19" i="15"/>
  <c r="O26" i="15"/>
  <c r="L16" i="15"/>
  <c r="O16" i="15" s="1"/>
  <c r="O222" i="15"/>
  <c r="L14" i="14"/>
  <c r="O14" i="14" s="1"/>
  <c r="O32" i="11"/>
  <c r="L30" i="11"/>
  <c r="O30" i="11" s="1"/>
  <c r="O9" i="12"/>
  <c r="P55" i="12"/>
  <c r="N53" i="12"/>
  <c r="P53" i="12" s="1"/>
  <c r="P142" i="11"/>
  <c r="L16" i="8"/>
  <c r="O16" i="8" s="1"/>
  <c r="O26" i="8"/>
  <c r="N66" i="8"/>
  <c r="P66" i="8" s="1"/>
  <c r="N68" i="1"/>
  <c r="O222" i="10"/>
  <c r="L220" i="10"/>
  <c r="P22" i="8"/>
  <c r="M12" i="8"/>
  <c r="N140" i="9"/>
  <c r="P140" i="9" s="1"/>
  <c r="P68" i="9"/>
  <c r="M66" i="9"/>
  <c r="P66" i="9" s="1"/>
  <c r="P250" i="5"/>
  <c r="L14" i="8"/>
  <c r="O14" i="8" s="1"/>
  <c r="O294" i="7"/>
  <c r="L292" i="7"/>
  <c r="L638" i="4"/>
  <c r="O640" i="4"/>
  <c r="O16" i="6"/>
  <c r="P120" i="4"/>
  <c r="M118" i="4"/>
  <c r="M120" i="1"/>
  <c r="M28" i="4"/>
  <c r="P28" i="4" s="1"/>
  <c r="L140" i="6"/>
  <c r="O140" i="6" s="1"/>
  <c r="P43" i="6"/>
  <c r="M41" i="6"/>
  <c r="M41" i="5"/>
  <c r="M140" i="4"/>
  <c r="P140" i="4" s="1"/>
  <c r="O23" i="6"/>
  <c r="L13" i="6"/>
  <c r="O13" i="6" s="1"/>
  <c r="P252" i="5"/>
  <c r="O26" i="4"/>
  <c r="L16" i="4"/>
  <c r="O16" i="4" s="1"/>
  <c r="P55" i="3"/>
  <c r="M53" i="3"/>
  <c r="P53" i="3" s="1"/>
  <c r="P292" i="3"/>
  <c r="M290" i="3"/>
  <c r="P290" i="3" s="1"/>
  <c r="M292" i="1"/>
  <c r="P96" i="2"/>
  <c r="M94" i="2"/>
  <c r="O32" i="5"/>
  <c r="L30" i="5"/>
  <c r="O30" i="5" s="1"/>
  <c r="O31" i="2"/>
  <c r="L29" i="2"/>
  <c r="L11" i="2"/>
  <c r="O34" i="2"/>
  <c r="P43" i="2"/>
  <c r="O43" i="3"/>
  <c r="L41" i="3"/>
  <c r="N252" i="1"/>
  <c r="N250" i="2"/>
  <c r="P22" i="2"/>
  <c r="M12" i="2"/>
  <c r="N29" i="2"/>
  <c r="N28" i="2" s="1"/>
  <c r="N11" i="2"/>
  <c r="N9" i="2" s="1"/>
  <c r="L34" i="1"/>
  <c r="O55" i="18"/>
  <c r="L53" i="18"/>
  <c r="O53" i="18" s="1"/>
  <c r="O26" i="16"/>
  <c r="L16" i="16"/>
  <c r="O16" i="16" s="1"/>
  <c r="P19" i="14"/>
  <c r="P102" i="9"/>
  <c r="M96" i="9"/>
  <c r="M26" i="9"/>
  <c r="M20" i="9" s="1"/>
  <c r="P273" i="4"/>
  <c r="M271" i="4"/>
  <c r="P271" i="4" s="1"/>
  <c r="P55" i="2"/>
  <c r="M53" i="2"/>
  <c r="P43" i="20"/>
  <c r="M41" i="20"/>
  <c r="M310" i="16"/>
  <c r="P310" i="16" s="1"/>
  <c r="P312" i="16"/>
  <c r="O26" i="14"/>
  <c r="L16" i="14"/>
  <c r="O16" i="14" s="1"/>
  <c r="P22" i="6"/>
  <c r="M12" i="6"/>
  <c r="P331" i="3"/>
  <c r="M329" i="3"/>
  <c r="N140" i="2"/>
  <c r="N142" i="1"/>
  <c r="N220" i="3"/>
  <c r="N222" i="1"/>
  <c r="O353" i="1"/>
  <c r="L33" i="1"/>
  <c r="O33" i="1" s="1"/>
  <c r="L636" i="21"/>
  <c r="O636" i="21" s="1"/>
  <c r="O638" i="21"/>
  <c r="L22" i="16"/>
  <c r="O45" i="16"/>
  <c r="L43" i="16"/>
  <c r="P43" i="15"/>
  <c r="M41" i="15"/>
  <c r="L638" i="14"/>
  <c r="O640" i="14"/>
  <c r="P222" i="2"/>
  <c r="M220" i="2"/>
  <c r="M222" i="1"/>
  <c r="O24" i="19"/>
  <c r="L14" i="19"/>
  <c r="O14" i="19" s="1"/>
  <c r="O275" i="13"/>
  <c r="L273" i="13"/>
  <c r="N12" i="11"/>
  <c r="N10" i="11" s="1"/>
  <c r="N20" i="11"/>
  <c r="N18" i="11" s="1"/>
  <c r="O640" i="19"/>
  <c r="L638" i="19"/>
  <c r="P29" i="18"/>
  <c r="M28" i="18"/>
  <c r="P28" i="18" s="1"/>
  <c r="O24" i="18"/>
  <c r="L14" i="18"/>
  <c r="O640" i="16"/>
  <c r="L638" i="16"/>
  <c r="P252" i="17"/>
  <c r="M250" i="17"/>
  <c r="P250" i="17" s="1"/>
  <c r="P68" i="17"/>
  <c r="M66" i="17"/>
  <c r="P66" i="17" s="1"/>
  <c r="O26" i="17"/>
  <c r="L16" i="17"/>
  <c r="O16" i="17" s="1"/>
  <c r="L638" i="15"/>
  <c r="O640" i="15"/>
  <c r="P29" i="17"/>
  <c r="M28" i="17"/>
  <c r="P28" i="17" s="1"/>
  <c r="L29" i="16"/>
  <c r="O31" i="16"/>
  <c r="L250" i="16"/>
  <c r="O250" i="16" s="1"/>
  <c r="P41" i="17"/>
  <c r="O220" i="16"/>
  <c r="L329" i="15"/>
  <c r="O329" i="15" s="1"/>
  <c r="O331" i="15"/>
  <c r="M20" i="15"/>
  <c r="P22" i="15"/>
  <c r="M12" i="15"/>
  <c r="L292" i="14"/>
  <c r="O294" i="14"/>
  <c r="N220" i="13"/>
  <c r="P220" i="13" s="1"/>
  <c r="P222" i="13"/>
  <c r="L14" i="12"/>
  <c r="O14" i="12" s="1"/>
  <c r="O24" i="12"/>
  <c r="O16" i="12"/>
  <c r="N29" i="11"/>
  <c r="N28" i="11" s="1"/>
  <c r="N11" i="11"/>
  <c r="N9" i="11" s="1"/>
  <c r="O32" i="10"/>
  <c r="L30" i="10"/>
  <c r="O30" i="10" s="1"/>
  <c r="P26" i="10"/>
  <c r="M16" i="10"/>
  <c r="P16" i="10" s="1"/>
  <c r="L29" i="8"/>
  <c r="O31" i="8"/>
  <c r="L22" i="10"/>
  <c r="O45" i="10"/>
  <c r="L43" i="10"/>
  <c r="O222" i="7"/>
  <c r="L220" i="7"/>
  <c r="O220" i="7" s="1"/>
  <c r="P273" i="6"/>
  <c r="M271" i="6"/>
  <c r="P271" i="6" s="1"/>
  <c r="L29" i="7"/>
  <c r="O31" i="7"/>
  <c r="M9" i="7"/>
  <c r="P11" i="7"/>
  <c r="O565" i="1"/>
  <c r="L31" i="1"/>
  <c r="O34" i="6"/>
  <c r="L14" i="6"/>
  <c r="O14" i="6" s="1"/>
  <c r="O19" i="3"/>
  <c r="M28" i="2"/>
  <c r="P28" i="2" s="1"/>
  <c r="O252" i="5"/>
  <c r="O31" i="3"/>
  <c r="L29" i="3"/>
  <c r="L11" i="3"/>
  <c r="P22" i="4"/>
  <c r="M12" i="4"/>
  <c r="M20" i="4"/>
  <c r="L30" i="9"/>
  <c r="O30" i="9" s="1"/>
  <c r="O32" i="9"/>
  <c r="P96" i="5"/>
  <c r="P11" i="6"/>
  <c r="M9" i="6"/>
  <c r="M273" i="1"/>
  <c r="P68" i="2"/>
  <c r="M66" i="2"/>
  <c r="M68" i="1"/>
  <c r="O120" i="3"/>
  <c r="L118" i="3"/>
  <c r="O118" i="3" s="1"/>
  <c r="P45" i="1"/>
  <c r="M22" i="1"/>
  <c r="P57" i="1"/>
  <c r="M55" i="1"/>
  <c r="O68" i="3"/>
  <c r="L66" i="3"/>
  <c r="O66" i="3" s="1"/>
  <c r="P273" i="21"/>
  <c r="M271" i="21"/>
  <c r="P271" i="21" s="1"/>
  <c r="L271" i="16"/>
  <c r="O271" i="16" s="1"/>
  <c r="O273" i="16"/>
  <c r="O24" i="11"/>
  <c r="L14" i="11"/>
  <c r="O14" i="11" s="1"/>
  <c r="P22" i="9"/>
  <c r="M12" i="9"/>
  <c r="P55" i="9"/>
  <c r="M53" i="9"/>
  <c r="P53" i="9" s="1"/>
  <c r="M94" i="7"/>
  <c r="P94" i="7" s="1"/>
  <c r="P96" i="7"/>
  <c r="N12" i="5"/>
  <c r="N10" i="5" s="1"/>
  <c r="N8" i="5" s="1"/>
  <c r="N290" i="3"/>
  <c r="N292" i="1"/>
  <c r="O222" i="16"/>
  <c r="N30" i="13"/>
  <c r="O32" i="13"/>
  <c r="L273" i="11"/>
  <c r="O275" i="11"/>
  <c r="O31" i="11"/>
  <c r="L29" i="11"/>
  <c r="O294" i="10"/>
  <c r="L292" i="10"/>
  <c r="L638" i="7"/>
  <c r="O640" i="7"/>
  <c r="P94" i="5"/>
  <c r="P68" i="3"/>
  <c r="M66" i="3"/>
  <c r="P66" i="3" s="1"/>
  <c r="O11" i="5"/>
  <c r="L9" i="5"/>
  <c r="O120" i="20"/>
  <c r="O19" i="20"/>
  <c r="P11" i="19"/>
  <c r="M9" i="19"/>
  <c r="N53" i="19"/>
  <c r="P55" i="18"/>
  <c r="M53" i="18"/>
  <c r="P53" i="18" s="1"/>
  <c r="P19" i="18"/>
  <c r="P96" i="18"/>
  <c r="M94" i="18"/>
  <c r="P94" i="18" s="1"/>
  <c r="N220" i="18"/>
  <c r="P142" i="17"/>
  <c r="M140" i="17"/>
  <c r="P140" i="17" s="1"/>
  <c r="M43" i="16"/>
  <c r="M331" i="17"/>
  <c r="P337" i="17"/>
  <c r="P120" i="17"/>
  <c r="M118" i="17"/>
  <c r="P118" i="17" s="1"/>
  <c r="M290" i="15"/>
  <c r="P290" i="15" s="1"/>
  <c r="P292" i="15"/>
  <c r="P220" i="16"/>
  <c r="O24" i="16"/>
  <c r="L14" i="16"/>
  <c r="O14" i="16" s="1"/>
  <c r="O29" i="17"/>
  <c r="L11" i="16"/>
  <c r="P222" i="16"/>
  <c r="L142" i="12"/>
  <c r="O144" i="12"/>
  <c r="L144" i="1"/>
  <c r="O144" i="1" s="1"/>
  <c r="O31" i="14"/>
  <c r="L11" i="14"/>
  <c r="L29" i="14"/>
  <c r="O640" i="13"/>
  <c r="L638" i="13"/>
  <c r="O45" i="14"/>
  <c r="L43" i="14"/>
  <c r="L22" i="14"/>
  <c r="L16" i="13"/>
  <c r="O16" i="13" s="1"/>
  <c r="O26" i="13"/>
  <c r="P19" i="12"/>
  <c r="L22" i="11"/>
  <c r="O329" i="13"/>
  <c r="M331" i="12"/>
  <c r="M26" i="12"/>
  <c r="P337" i="12"/>
  <c r="O331" i="14"/>
  <c r="L329" i="14"/>
  <c r="O329" i="14" s="1"/>
  <c r="O26" i="12"/>
  <c r="O32" i="12"/>
  <c r="L30" i="12"/>
  <c r="O30" i="12" s="1"/>
  <c r="P19" i="13"/>
  <c r="P96" i="13"/>
  <c r="M94" i="13"/>
  <c r="O640" i="9"/>
  <c r="L638" i="9"/>
  <c r="L271" i="12"/>
  <c r="M20" i="10"/>
  <c r="P22" i="10"/>
  <c r="M12" i="10"/>
  <c r="P41" i="12"/>
  <c r="P312" i="9"/>
  <c r="M310" i="9"/>
  <c r="P310" i="9" s="1"/>
  <c r="L310" i="12"/>
  <c r="O310" i="12" s="1"/>
  <c r="O312" i="12"/>
  <c r="O292" i="12"/>
  <c r="L290" i="12"/>
  <c r="O290" i="12" s="1"/>
  <c r="O23" i="10"/>
  <c r="L13" i="10"/>
  <c r="O13" i="10" s="1"/>
  <c r="N28" i="10"/>
  <c r="O23" i="8"/>
  <c r="L13" i="8"/>
  <c r="O13" i="8" s="1"/>
  <c r="O26" i="9"/>
  <c r="L16" i="9"/>
  <c r="O16" i="9" s="1"/>
  <c r="N20" i="9"/>
  <c r="N18" i="9" s="1"/>
  <c r="N12" i="9"/>
  <c r="N10" i="9" s="1"/>
  <c r="O23" i="7"/>
  <c r="L13" i="7"/>
  <c r="O13" i="7" s="1"/>
  <c r="N30" i="7"/>
  <c r="N12" i="7"/>
  <c r="N10" i="7" s="1"/>
  <c r="P222" i="8"/>
  <c r="M220" i="8"/>
  <c r="P220" i="8" s="1"/>
  <c r="O41" i="2"/>
  <c r="P273" i="3"/>
  <c r="N273" i="1"/>
  <c r="M66" i="6"/>
  <c r="P66" i="6" s="1"/>
  <c r="O57" i="6"/>
  <c r="L55" i="6"/>
  <c r="L57" i="1"/>
  <c r="P312" i="3"/>
  <c r="M310" i="3"/>
  <c r="P310" i="3" s="1"/>
  <c r="O250" i="5"/>
  <c r="O19" i="4"/>
  <c r="O19" i="5"/>
  <c r="M9" i="2"/>
  <c r="P271" i="2"/>
  <c r="P222" i="3"/>
  <c r="M312" i="1"/>
  <c r="N312" i="1"/>
  <c r="O42" i="1"/>
  <c r="P43" i="3"/>
  <c r="M41" i="3"/>
  <c r="O640" i="12"/>
  <c r="N638" i="12"/>
  <c r="L638" i="8"/>
  <c r="O640" i="8"/>
  <c r="O24" i="3"/>
  <c r="L14" i="3"/>
  <c r="O14" i="3" s="1"/>
  <c r="P19" i="1"/>
  <c r="P142" i="20"/>
  <c r="M9" i="17"/>
  <c r="P11" i="17"/>
  <c r="P22" i="16"/>
  <c r="M12" i="16"/>
  <c r="O98" i="15"/>
  <c r="L96" i="15"/>
  <c r="M53" i="15"/>
  <c r="P53" i="15" s="1"/>
  <c r="N29" i="12"/>
  <c r="N28" i="12" s="1"/>
  <c r="N11" i="12"/>
  <c r="N9" i="12" s="1"/>
  <c r="P312" i="15"/>
  <c r="M310" i="15"/>
  <c r="P310" i="15" s="1"/>
  <c r="P96" i="11"/>
  <c r="N94" i="11"/>
  <c r="O94" i="11" s="1"/>
  <c r="O312" i="11"/>
  <c r="L310" i="11"/>
  <c r="O310" i="11" s="1"/>
  <c r="O70" i="4"/>
  <c r="L68" i="4"/>
  <c r="L22" i="4"/>
  <c r="L70" i="1"/>
  <c r="O70" i="1" s="1"/>
  <c r="O19" i="7"/>
  <c r="P96" i="20"/>
  <c r="M94" i="20"/>
  <c r="P94" i="20" s="1"/>
  <c r="O312" i="21"/>
  <c r="L310" i="21"/>
  <c r="O310" i="21" s="1"/>
  <c r="M9" i="21"/>
  <c r="O33" i="21"/>
  <c r="L13" i="21"/>
  <c r="O13" i="21" s="1"/>
  <c r="O140" i="20"/>
  <c r="M118" i="21"/>
  <c r="P118" i="21" s="1"/>
  <c r="P120" i="21"/>
  <c r="P329" i="21"/>
  <c r="O26" i="21"/>
  <c r="L16" i="21"/>
  <c r="O16" i="21" s="1"/>
  <c r="O252" i="21"/>
  <c r="L250" i="21"/>
  <c r="P337" i="20"/>
  <c r="M26" i="20"/>
  <c r="P68" i="20"/>
  <c r="L222" i="19"/>
  <c r="O224" i="19"/>
  <c r="P22" i="19"/>
  <c r="M12" i="19"/>
  <c r="M20" i="19"/>
  <c r="O15" i="18"/>
  <c r="L331" i="17"/>
  <c r="O333" i="17"/>
  <c r="L13" i="19"/>
  <c r="O13" i="19" s="1"/>
  <c r="N12" i="18"/>
  <c r="N10" i="18" s="1"/>
  <c r="N20" i="18"/>
  <c r="O45" i="17"/>
  <c r="L43" i="17"/>
  <c r="L22" i="17"/>
  <c r="O640" i="18"/>
  <c r="P19" i="16"/>
  <c r="N20" i="16"/>
  <c r="N18" i="16" s="1"/>
  <c r="N12" i="16"/>
  <c r="N10" i="16" s="1"/>
  <c r="O30" i="15"/>
  <c r="N94" i="13"/>
  <c r="O94" i="13" s="1"/>
  <c r="O96" i="13"/>
  <c r="L22" i="15"/>
  <c r="O45" i="15"/>
  <c r="L43" i="15"/>
  <c r="L13" i="14"/>
  <c r="O13" i="14" s="1"/>
  <c r="O23" i="14"/>
  <c r="M26" i="13"/>
  <c r="P49" i="13"/>
  <c r="P30" i="13"/>
  <c r="M28" i="13"/>
  <c r="P28" i="13" s="1"/>
  <c r="M9" i="12"/>
  <c r="P11" i="12"/>
  <c r="P43" i="10"/>
  <c r="M41" i="10"/>
  <c r="O331" i="13"/>
  <c r="O638" i="11"/>
  <c r="L636" i="11"/>
  <c r="O636" i="11" s="1"/>
  <c r="M9" i="13"/>
  <c r="P15" i="13"/>
  <c r="N20" i="12"/>
  <c r="N18" i="12" s="1"/>
  <c r="N12" i="12"/>
  <c r="N10" i="12" s="1"/>
  <c r="L11" i="11"/>
  <c r="P19" i="10"/>
  <c r="P22" i="11"/>
  <c r="P337" i="10"/>
  <c r="M331" i="10"/>
  <c r="P43" i="9"/>
  <c r="M41" i="9"/>
  <c r="P118" i="11"/>
  <c r="N12" i="10"/>
  <c r="N10" i="10" s="1"/>
  <c r="P292" i="9"/>
  <c r="M290" i="9"/>
  <c r="P290" i="9" s="1"/>
  <c r="O96" i="11"/>
  <c r="O31" i="9"/>
  <c r="L29" i="9"/>
  <c r="L11" i="9"/>
  <c r="L271" i="7"/>
  <c r="O271" i="7" s="1"/>
  <c r="L28" i="6"/>
  <c r="O57" i="7"/>
  <c r="L55" i="7"/>
  <c r="O254" i="9"/>
  <c r="L252" i="9"/>
  <c r="L254" i="1"/>
  <c r="O254" i="1" s="1"/>
  <c r="P312" i="6"/>
  <c r="M310" i="6"/>
  <c r="P310" i="6" s="1"/>
  <c r="O222" i="5"/>
  <c r="L220" i="5"/>
  <c r="O220" i="5" s="1"/>
  <c r="L30" i="2"/>
  <c r="O30" i="2" s="1"/>
  <c r="O32" i="2"/>
  <c r="L22" i="7"/>
  <c r="N20" i="6"/>
  <c r="N18" i="6" s="1"/>
  <c r="P252" i="3"/>
  <c r="M252" i="1"/>
  <c r="O26" i="2"/>
  <c r="L16" i="2"/>
  <c r="O16" i="2" s="1"/>
  <c r="O26" i="5"/>
  <c r="L16" i="5"/>
  <c r="O16" i="5" s="1"/>
  <c r="O122" i="6"/>
  <c r="L120" i="6"/>
  <c r="L122" i="1"/>
  <c r="O122" i="1" s="1"/>
  <c r="O43" i="6"/>
  <c r="L41" i="6"/>
  <c r="M250" i="3"/>
  <c r="P250" i="3" s="1"/>
  <c r="O31" i="4"/>
  <c r="L29" i="4"/>
  <c r="O43" i="9"/>
  <c r="L41" i="9"/>
  <c r="O34" i="4"/>
  <c r="P222" i="7"/>
  <c r="M220" i="7"/>
  <c r="P220" i="7" s="1"/>
  <c r="P19" i="6"/>
  <c r="P292" i="4"/>
  <c r="M290" i="4"/>
  <c r="P290" i="4" s="1"/>
  <c r="M9" i="4"/>
  <c r="L32" i="1"/>
  <c r="O437" i="1"/>
  <c r="L13" i="2"/>
  <c r="O13" i="2" s="1"/>
  <c r="L22" i="2"/>
  <c r="N30" i="3"/>
  <c r="N28" i="3" s="1"/>
  <c r="N12" i="3"/>
  <c r="N10" i="3" s="1"/>
  <c r="N8" i="3" s="1"/>
  <c r="O43" i="2"/>
  <c r="L636" i="3"/>
  <c r="O636" i="3" s="1"/>
  <c r="O638" i="3"/>
  <c r="O32" i="3"/>
  <c r="N310" i="1"/>
  <c r="O19" i="1"/>
  <c r="P254" i="1"/>
  <c r="O41" i="20"/>
  <c r="P222" i="20"/>
  <c r="P22" i="14"/>
  <c r="M12" i="14"/>
  <c r="L220" i="11"/>
  <c r="O220" i="11" s="1"/>
  <c r="O222" i="11"/>
  <c r="P26" i="4"/>
  <c r="M16" i="4"/>
  <c r="P16" i="4" s="1"/>
  <c r="N28" i="5"/>
  <c r="M66" i="21"/>
  <c r="P66" i="21" s="1"/>
  <c r="P68" i="21"/>
  <c r="M9" i="14"/>
  <c r="P11" i="14"/>
  <c r="O23" i="4"/>
  <c r="L13" i="4"/>
  <c r="O13" i="4" s="1"/>
  <c r="O385" i="1"/>
  <c r="N34" i="1"/>
  <c r="N14" i="1" s="1"/>
  <c r="O34" i="21"/>
  <c r="L9" i="20"/>
  <c r="O11" i="20"/>
  <c r="L94" i="20"/>
  <c r="O94" i="20" s="1"/>
  <c r="N12" i="21"/>
  <c r="N10" i="21" s="1"/>
  <c r="N8" i="21" s="1"/>
  <c r="N20" i="21"/>
  <c r="N18" i="21" s="1"/>
  <c r="P118" i="20"/>
  <c r="P22" i="21"/>
  <c r="M12" i="21"/>
  <c r="M20" i="21"/>
  <c r="P331" i="21"/>
  <c r="O32" i="20"/>
  <c r="L30" i="20"/>
  <c r="O68" i="20"/>
  <c r="L120" i="19"/>
  <c r="O122" i="19"/>
  <c r="M220" i="19"/>
  <c r="P220" i="19" s="1"/>
  <c r="O32" i="19"/>
  <c r="P19" i="17"/>
  <c r="O23" i="17"/>
  <c r="L13" i="17"/>
  <c r="O13" i="17" s="1"/>
  <c r="M9" i="16"/>
  <c r="P11" i="16"/>
  <c r="N12" i="17"/>
  <c r="N10" i="17" s="1"/>
  <c r="N20" i="17"/>
  <c r="N18" i="17" s="1"/>
  <c r="O638" i="18"/>
  <c r="L636" i="18"/>
  <c r="O636" i="18" s="1"/>
  <c r="P55" i="17"/>
  <c r="M53" i="17"/>
  <c r="P53" i="17" s="1"/>
  <c r="P30" i="15"/>
  <c r="M28" i="15"/>
  <c r="P28" i="15" s="1"/>
  <c r="O31" i="15"/>
  <c r="L11" i="15"/>
  <c r="L29" i="15"/>
  <c r="P11" i="15"/>
  <c r="M9" i="15"/>
  <c r="O23" i="15"/>
  <c r="L13" i="15"/>
  <c r="O13" i="15" s="1"/>
  <c r="P252" i="14"/>
  <c r="O19" i="16"/>
  <c r="L14" i="15"/>
  <c r="O14" i="15" s="1"/>
  <c r="O24" i="15"/>
  <c r="P55" i="14"/>
  <c r="M53" i="14"/>
  <c r="O19" i="13"/>
  <c r="O31" i="10"/>
  <c r="L11" i="10"/>
  <c r="L29" i="10"/>
  <c r="P337" i="11"/>
  <c r="M331" i="11"/>
  <c r="L13" i="12"/>
  <c r="O13" i="12" s="1"/>
  <c r="O23" i="12"/>
  <c r="M41" i="8"/>
  <c r="O26" i="10"/>
  <c r="L16" i="10"/>
  <c r="O16" i="10" s="1"/>
  <c r="M26" i="8"/>
  <c r="M20" i="8" s="1"/>
  <c r="P49" i="8"/>
  <c r="L250" i="12"/>
  <c r="O250" i="12" s="1"/>
  <c r="O252" i="12"/>
  <c r="P331" i="9"/>
  <c r="M329" i="9"/>
  <c r="P329" i="9" s="1"/>
  <c r="P220" i="9"/>
  <c r="L118" i="7"/>
  <c r="O118" i="7" s="1"/>
  <c r="M9" i="5"/>
  <c r="P11" i="5"/>
  <c r="M53" i="4"/>
  <c r="P53" i="4" s="1"/>
  <c r="L29" i="5"/>
  <c r="O31" i="5"/>
  <c r="P49" i="5"/>
  <c r="M26" i="5"/>
  <c r="M49" i="1"/>
  <c r="L53" i="4"/>
  <c r="O53" i="4" s="1"/>
  <c r="P43" i="4"/>
  <c r="M41" i="4"/>
  <c r="O640" i="5"/>
  <c r="N271" i="3"/>
  <c r="L275" i="1"/>
  <c r="O275" i="1" s="1"/>
  <c r="O96" i="2"/>
  <c r="L94" i="2"/>
  <c r="N329" i="3"/>
  <c r="N329" i="1" s="1"/>
  <c r="N331" i="1"/>
  <c r="P22" i="3"/>
  <c r="M12" i="3"/>
  <c r="M9" i="1"/>
  <c r="P41" i="21"/>
  <c r="L30" i="14"/>
  <c r="O30" i="14" s="1"/>
  <c r="O32" i="14"/>
  <c r="P331" i="13"/>
  <c r="N29" i="4"/>
  <c r="N28" i="4" s="1"/>
  <c r="N11" i="4"/>
  <c r="N9" i="4" s="1"/>
  <c r="P102" i="3"/>
  <c r="M102" i="1"/>
  <c r="P102" i="1" s="1"/>
  <c r="M26" i="3"/>
  <c r="M20" i="3" s="1"/>
  <c r="L638" i="2"/>
  <c r="O640" i="2"/>
  <c r="N20" i="19"/>
  <c r="N18" i="19" s="1"/>
  <c r="N12" i="19"/>
  <c r="N10" i="19" s="1"/>
  <c r="L30" i="17"/>
  <c r="O30" i="17" s="1"/>
  <c r="O32" i="17"/>
  <c r="O254" i="15"/>
  <c r="L252" i="15"/>
  <c r="M94" i="14"/>
  <c r="P94" i="14" s="1"/>
  <c r="P96" i="14"/>
  <c r="P11" i="11"/>
  <c r="M9" i="11"/>
  <c r="P29" i="10"/>
  <c r="M28" i="10"/>
  <c r="P28" i="10" s="1"/>
  <c r="N20" i="8"/>
  <c r="N18" i="8" s="1"/>
  <c r="N12" i="8"/>
  <c r="N10" i="8" s="1"/>
  <c r="P312" i="4"/>
  <c r="M310" i="4"/>
  <c r="P310" i="4" s="1"/>
  <c r="N94" i="2"/>
  <c r="N96" i="1"/>
  <c r="O142" i="20"/>
  <c r="M310" i="21"/>
  <c r="P310" i="21" s="1"/>
  <c r="P312" i="21"/>
  <c r="N220" i="21"/>
  <c r="O220" i="21" s="1"/>
  <c r="O222" i="21"/>
  <c r="P140" i="20"/>
  <c r="P292" i="21"/>
  <c r="M290" i="21"/>
  <c r="P290" i="21" s="1"/>
  <c r="L140" i="21"/>
  <c r="M9" i="20"/>
  <c r="P11" i="20"/>
  <c r="O23" i="20"/>
  <c r="L13" i="20"/>
  <c r="O13" i="20" s="1"/>
  <c r="O68" i="21"/>
  <c r="L66" i="21"/>
  <c r="O66" i="21" s="1"/>
  <c r="M9" i="18"/>
  <c r="P11" i="18"/>
  <c r="P142" i="19"/>
  <c r="M140" i="19"/>
  <c r="P140" i="19" s="1"/>
  <c r="L22" i="19"/>
  <c r="O30" i="19"/>
  <c r="O45" i="18"/>
  <c r="L43" i="18"/>
  <c r="L22" i="18"/>
  <c r="O26" i="18"/>
  <c r="L16" i="18"/>
  <c r="O16" i="18" s="1"/>
  <c r="M329" i="18"/>
  <c r="P329" i="18" s="1"/>
  <c r="O222" i="18"/>
  <c r="L220" i="18"/>
  <c r="P273" i="17"/>
  <c r="M271" i="17"/>
  <c r="P271" i="17" s="1"/>
  <c r="P26" i="15"/>
  <c r="M16" i="15"/>
  <c r="P16" i="15" s="1"/>
  <c r="P222" i="14"/>
  <c r="M220" i="14"/>
  <c r="P220" i="14" s="1"/>
  <c r="P292" i="11"/>
  <c r="M290" i="11"/>
  <c r="P290" i="11" s="1"/>
  <c r="O68" i="13"/>
  <c r="L66" i="13"/>
  <c r="O66" i="13" s="1"/>
  <c r="P29" i="14"/>
  <c r="M28" i="14"/>
  <c r="P28" i="14" s="1"/>
  <c r="N12" i="15"/>
  <c r="N10" i="15" s="1"/>
  <c r="L222" i="13"/>
  <c r="O224" i="13"/>
  <c r="L224" i="1"/>
  <c r="O224" i="1" s="1"/>
  <c r="L22" i="13"/>
  <c r="N20" i="13"/>
  <c r="N18" i="13" s="1"/>
  <c r="N12" i="13"/>
  <c r="N10" i="13" s="1"/>
  <c r="P26" i="11"/>
  <c r="P273" i="14"/>
  <c r="M271" i="14"/>
  <c r="P271" i="14" s="1"/>
  <c r="O55" i="13"/>
  <c r="L142" i="13"/>
  <c r="O144" i="13"/>
  <c r="N12" i="14"/>
  <c r="N10" i="14" s="1"/>
  <c r="N20" i="14"/>
  <c r="N18" i="14" s="1"/>
  <c r="P140" i="11"/>
  <c r="M20" i="11"/>
  <c r="O312" i="13"/>
  <c r="L310" i="13"/>
  <c r="O310" i="13" s="1"/>
  <c r="O122" i="12"/>
  <c r="L120" i="12"/>
  <c r="M329" i="8"/>
  <c r="P329" i="8" s="1"/>
  <c r="L22" i="8"/>
  <c r="L43" i="8"/>
  <c r="O45" i="8"/>
  <c r="L45" i="1"/>
  <c r="P96" i="8"/>
  <c r="M94" i="8"/>
  <c r="P94" i="8" s="1"/>
  <c r="O98" i="9"/>
  <c r="L96" i="9"/>
  <c r="L98" i="1"/>
  <c r="O98" i="1" s="1"/>
  <c r="M329" i="7"/>
  <c r="P329" i="7" s="1"/>
  <c r="P331" i="7"/>
  <c r="L638" i="6"/>
  <c r="O640" i="6"/>
  <c r="P222" i="5"/>
  <c r="M220" i="5"/>
  <c r="P220" i="5" s="1"/>
  <c r="O24" i="7"/>
  <c r="L14" i="7"/>
  <c r="O14" i="7" s="1"/>
  <c r="O23" i="5"/>
  <c r="L13" i="5"/>
  <c r="O13" i="5" s="1"/>
  <c r="L9" i="4"/>
  <c r="O11" i="4"/>
  <c r="P142" i="3"/>
  <c r="M142" i="1"/>
  <c r="P310" i="2"/>
  <c r="O32" i="8"/>
  <c r="L30" i="8"/>
  <c r="O30" i="8" s="1"/>
  <c r="L22" i="6"/>
  <c r="O43" i="4"/>
  <c r="L41" i="4"/>
  <c r="M26" i="2"/>
  <c r="P337" i="2"/>
  <c r="M331" i="2"/>
  <c r="M337" i="1"/>
  <c r="P337" i="1" s="1"/>
  <c r="L22" i="9"/>
  <c r="N118" i="4"/>
  <c r="P22" i="7"/>
  <c r="M12" i="7"/>
  <c r="O638" i="5"/>
  <c r="L636" i="5"/>
  <c r="O636" i="5" s="1"/>
  <c r="O333" i="2"/>
  <c r="L331" i="2"/>
  <c r="L333" i="1"/>
  <c r="O333" i="1" s="1"/>
  <c r="N12" i="2"/>
  <c r="N10" i="2" s="1"/>
  <c r="N20" i="2"/>
  <c r="N18" i="2" s="1"/>
  <c r="O14" i="2"/>
  <c r="N26" i="1"/>
  <c r="N16" i="1" s="1"/>
  <c r="N55" i="1"/>
  <c r="N53" i="1" s="1"/>
  <c r="O23" i="3"/>
  <c r="L13" i="3"/>
  <c r="O13" i="3" s="1"/>
  <c r="L26" i="1"/>
  <c r="O292" i="16" l="1"/>
  <c r="O312" i="6"/>
  <c r="L66" i="19"/>
  <c r="O66" i="19" s="1"/>
  <c r="O68" i="2"/>
  <c r="N37" i="19"/>
  <c r="P94" i="10"/>
  <c r="L329" i="11"/>
  <c r="O329" i="11" s="1"/>
  <c r="O273" i="20"/>
  <c r="O120" i="21"/>
  <c r="N290" i="1"/>
  <c r="L290" i="18"/>
  <c r="O290" i="18" s="1"/>
  <c r="P142" i="1"/>
  <c r="L94" i="17"/>
  <c r="O94" i="17" s="1"/>
  <c r="O120" i="16"/>
  <c r="O292" i="20"/>
  <c r="P26" i="17"/>
  <c r="O43" i="11"/>
  <c r="P26" i="14"/>
  <c r="L66" i="16"/>
  <c r="O66" i="16" s="1"/>
  <c r="O252" i="14"/>
  <c r="L140" i="16"/>
  <c r="O140" i="16" s="1"/>
  <c r="L271" i="3"/>
  <c r="L310" i="9"/>
  <c r="O310" i="9" s="1"/>
  <c r="L53" i="2"/>
  <c r="O53" i="2" s="1"/>
  <c r="L94" i="16"/>
  <c r="O94" i="16" s="1"/>
  <c r="P250" i="6"/>
  <c r="O96" i="21"/>
  <c r="L636" i="10"/>
  <c r="O636" i="10" s="1"/>
  <c r="L140" i="9"/>
  <c r="O140" i="9" s="1"/>
  <c r="O142" i="2"/>
  <c r="L53" i="10"/>
  <c r="O53" i="10" s="1"/>
  <c r="O220" i="3"/>
  <c r="L310" i="15"/>
  <c r="O310" i="15" s="1"/>
  <c r="M329" i="19"/>
  <c r="P329" i="19" s="1"/>
  <c r="L329" i="8"/>
  <c r="O329" i="8" s="1"/>
  <c r="O96" i="5"/>
  <c r="L250" i="11"/>
  <c r="O250" i="11" s="1"/>
  <c r="L290" i="5"/>
  <c r="O290" i="5" s="1"/>
  <c r="O140" i="2"/>
  <c r="O331" i="3"/>
  <c r="O222" i="3"/>
  <c r="N8" i="9"/>
  <c r="O312" i="2"/>
  <c r="O22" i="3"/>
  <c r="O250" i="21"/>
  <c r="M329" i="5"/>
  <c r="P329" i="5" s="1"/>
  <c r="M16" i="18"/>
  <c r="P16" i="18" s="1"/>
  <c r="L28" i="21"/>
  <c r="O28" i="21" s="1"/>
  <c r="M16" i="17"/>
  <c r="P16" i="17" s="1"/>
  <c r="L53" i="16"/>
  <c r="O53" i="16" s="1"/>
  <c r="P26" i="18"/>
  <c r="P20" i="18"/>
  <c r="L220" i="17"/>
  <c r="O220" i="17" s="1"/>
  <c r="L310" i="14"/>
  <c r="O310" i="14" s="1"/>
  <c r="L140" i="18"/>
  <c r="O140" i="18" s="1"/>
  <c r="L290" i="13"/>
  <c r="O290" i="13" s="1"/>
  <c r="L53" i="9"/>
  <c r="O53" i="9" s="1"/>
  <c r="N8" i="20"/>
  <c r="L271" i="8"/>
  <c r="O271" i="8" s="1"/>
  <c r="M16" i="14"/>
  <c r="P16" i="14" s="1"/>
  <c r="L220" i="20"/>
  <c r="O220" i="20" s="1"/>
  <c r="L140" i="4"/>
  <c r="O140" i="4" s="1"/>
  <c r="L9" i="21"/>
  <c r="O9" i="21" s="1"/>
  <c r="L140" i="17"/>
  <c r="O140" i="17" s="1"/>
  <c r="L329" i="10"/>
  <c r="O329" i="10" s="1"/>
  <c r="L118" i="11"/>
  <c r="O118" i="11" s="1"/>
  <c r="N37" i="9"/>
  <c r="L310" i="5"/>
  <c r="O310" i="5" s="1"/>
  <c r="O66" i="11"/>
  <c r="L271" i="18"/>
  <c r="O271" i="18" s="1"/>
  <c r="L310" i="10"/>
  <c r="O310" i="10" s="1"/>
  <c r="O120" i="10"/>
  <c r="O252" i="3"/>
  <c r="O273" i="2"/>
  <c r="L220" i="2"/>
  <c r="O220" i="2" s="1"/>
  <c r="L250" i="13"/>
  <c r="O250" i="13" s="1"/>
  <c r="O331" i="4"/>
  <c r="L94" i="8"/>
  <c r="O94" i="8" s="1"/>
  <c r="O68" i="8"/>
  <c r="L66" i="18"/>
  <c r="O66" i="18" s="1"/>
  <c r="L41" i="5"/>
  <c r="O41" i="5" s="1"/>
  <c r="O11" i="17"/>
  <c r="N8" i="8"/>
  <c r="L329" i="7"/>
  <c r="O329" i="7" s="1"/>
  <c r="O142" i="3"/>
  <c r="L66" i="9"/>
  <c r="O66" i="9" s="1"/>
  <c r="L118" i="8"/>
  <c r="O118" i="8" s="1"/>
  <c r="L53" i="21"/>
  <c r="O53" i="21" s="1"/>
  <c r="O14" i="20"/>
  <c r="N66" i="1"/>
  <c r="L53" i="20"/>
  <c r="O53" i="20" s="1"/>
  <c r="L329" i="18"/>
  <c r="O329" i="18" s="1"/>
  <c r="L271" i="15"/>
  <c r="O271" i="15" s="1"/>
  <c r="O273" i="10"/>
  <c r="P20" i="10"/>
  <c r="N118" i="1"/>
  <c r="O118" i="2"/>
  <c r="L310" i="4"/>
  <c r="O310" i="4" s="1"/>
  <c r="N8" i="15"/>
  <c r="L94" i="6"/>
  <c r="O94" i="6" s="1"/>
  <c r="O271" i="10"/>
  <c r="L290" i="4"/>
  <c r="O290" i="4" s="1"/>
  <c r="M41" i="7"/>
  <c r="P41" i="7" s="1"/>
  <c r="L94" i="14"/>
  <c r="O94" i="14" s="1"/>
  <c r="L12" i="5"/>
  <c r="L10" i="5" s="1"/>
  <c r="O10" i="5" s="1"/>
  <c r="L271" i="4"/>
  <c r="O271" i="4" s="1"/>
  <c r="L41" i="7"/>
  <c r="O41" i="7" s="1"/>
  <c r="L310" i="3"/>
  <c r="O310" i="3" s="1"/>
  <c r="O43" i="13"/>
  <c r="L66" i="12"/>
  <c r="O66" i="12" s="1"/>
  <c r="O68" i="12"/>
  <c r="O273" i="21"/>
  <c r="O11" i="19"/>
  <c r="P43" i="14"/>
  <c r="L290" i="9"/>
  <c r="O290" i="9" s="1"/>
  <c r="O331" i="5"/>
  <c r="N37" i="10"/>
  <c r="N8" i="16"/>
  <c r="N37" i="18"/>
  <c r="P252" i="1"/>
  <c r="L118" i="13"/>
  <c r="O118" i="13" s="1"/>
  <c r="L329" i="16"/>
  <c r="O329" i="16" s="1"/>
  <c r="N8" i="13"/>
  <c r="N8" i="19"/>
  <c r="P26" i="7"/>
  <c r="L290" i="3"/>
  <c r="O290" i="3" s="1"/>
  <c r="N8" i="4"/>
  <c r="L220" i="8"/>
  <c r="O220" i="8" s="1"/>
  <c r="L53" i="17"/>
  <c r="O53" i="17" s="1"/>
  <c r="M20" i="6"/>
  <c r="M18" i="6" s="1"/>
  <c r="P18" i="6" s="1"/>
  <c r="L41" i="12"/>
  <c r="O41" i="12" s="1"/>
  <c r="N250" i="1"/>
  <c r="O55" i="12"/>
  <c r="L329" i="20"/>
  <c r="O329" i="20" s="1"/>
  <c r="L271" i="6"/>
  <c r="O271" i="6" s="1"/>
  <c r="L310" i="8"/>
  <c r="O310" i="8" s="1"/>
  <c r="L250" i="6"/>
  <c r="O250" i="6" s="1"/>
  <c r="L28" i="19"/>
  <c r="O28" i="19" s="1"/>
  <c r="O28" i="6"/>
  <c r="O220" i="10"/>
  <c r="O68" i="10"/>
  <c r="L28" i="13"/>
  <c r="L53" i="3"/>
  <c r="O53" i="3" s="1"/>
  <c r="M94" i="17"/>
  <c r="P94" i="17" s="1"/>
  <c r="L140" i="11"/>
  <c r="O140" i="11" s="1"/>
  <c r="M96" i="1"/>
  <c r="P96" i="1" s="1"/>
  <c r="L220" i="4"/>
  <c r="O220" i="4" s="1"/>
  <c r="O222" i="4"/>
  <c r="N8" i="17"/>
  <c r="L250" i="4"/>
  <c r="O250" i="4" s="1"/>
  <c r="L271" i="9"/>
  <c r="O271" i="9" s="1"/>
  <c r="L20" i="3"/>
  <c r="L18" i="3" s="1"/>
  <c r="O18" i="3" s="1"/>
  <c r="L20" i="5"/>
  <c r="O20" i="5" s="1"/>
  <c r="L94" i="18"/>
  <c r="O94" i="18" s="1"/>
  <c r="L329" i="6"/>
  <c r="O329" i="6" s="1"/>
  <c r="O331" i="6"/>
  <c r="L220" i="12"/>
  <c r="O220" i="12" s="1"/>
  <c r="M20" i="7"/>
  <c r="P20" i="7" s="1"/>
  <c r="O222" i="14"/>
  <c r="O271" i="20"/>
  <c r="L118" i="18"/>
  <c r="O118" i="18" s="1"/>
  <c r="L250" i="19"/>
  <c r="O250" i="19" s="1"/>
  <c r="P220" i="18"/>
  <c r="L310" i="7"/>
  <c r="O310" i="7" s="1"/>
  <c r="L310" i="20"/>
  <c r="O310" i="20" s="1"/>
  <c r="N8" i="6"/>
  <c r="L310" i="18"/>
  <c r="O310" i="18" s="1"/>
  <c r="L94" i="3"/>
  <c r="O94" i="3" s="1"/>
  <c r="L9" i="18"/>
  <c r="O9" i="18" s="1"/>
  <c r="L310" i="17"/>
  <c r="O310" i="17" s="1"/>
  <c r="L140" i="14"/>
  <c r="O140" i="14" s="1"/>
  <c r="O142" i="14"/>
  <c r="O68" i="17"/>
  <c r="L66" i="17"/>
  <c r="O66" i="17" s="1"/>
  <c r="N8" i="14"/>
  <c r="O140" i="21"/>
  <c r="P94" i="11"/>
  <c r="O640" i="1"/>
  <c r="N37" i="20"/>
  <c r="N12" i="1"/>
  <c r="N10" i="1" s="1"/>
  <c r="P271" i="10"/>
  <c r="L94" i="4"/>
  <c r="O94" i="4" s="1"/>
  <c r="O220" i="18"/>
  <c r="L14" i="1"/>
  <c r="O14" i="1" s="1"/>
  <c r="O292" i="15"/>
  <c r="N28" i="1"/>
  <c r="L9" i="13"/>
  <c r="O9" i="13" s="1"/>
  <c r="O11" i="13"/>
  <c r="P12" i="18"/>
  <c r="O22" i="21"/>
  <c r="L290" i="8"/>
  <c r="O290" i="8" s="1"/>
  <c r="N37" i="11"/>
  <c r="L20" i="21"/>
  <c r="O20" i="21" s="1"/>
  <c r="M16" i="6"/>
  <c r="P16" i="6" s="1"/>
  <c r="P12" i="20"/>
  <c r="N11" i="1"/>
  <c r="N9" i="1" s="1"/>
  <c r="L10" i="21"/>
  <c r="N8" i="7"/>
  <c r="M41" i="18"/>
  <c r="P41" i="18" s="1"/>
  <c r="P68" i="1"/>
  <c r="P120" i="1"/>
  <c r="L222" i="1"/>
  <c r="O222" i="1" s="1"/>
  <c r="O53" i="19"/>
  <c r="P20" i="15"/>
  <c r="O14" i="18"/>
  <c r="L312" i="1"/>
  <c r="O312" i="1" s="1"/>
  <c r="O30" i="3"/>
  <c r="L68" i="1"/>
  <c r="O68" i="1" s="1"/>
  <c r="P12" i="5"/>
  <c r="N94" i="1"/>
  <c r="O53" i="13"/>
  <c r="L96" i="1"/>
  <c r="O96" i="1" s="1"/>
  <c r="M94" i="6"/>
  <c r="P94" i="6" s="1"/>
  <c r="P96" i="6"/>
  <c r="O68" i="14"/>
  <c r="P12" i="11"/>
  <c r="L252" i="1"/>
  <c r="O252" i="1" s="1"/>
  <c r="O12" i="21"/>
  <c r="O11" i="6"/>
  <c r="L9" i="6"/>
  <c r="O9" i="6" s="1"/>
  <c r="P250" i="2"/>
  <c r="L20" i="12"/>
  <c r="L18" i="12" s="1"/>
  <c r="O18" i="12" s="1"/>
  <c r="N8" i="11"/>
  <c r="O250" i="2"/>
  <c r="O22" i="12"/>
  <c r="O252" i="18"/>
  <c r="L250" i="18"/>
  <c r="O250" i="18" s="1"/>
  <c r="O66" i="14"/>
  <c r="O29" i="18"/>
  <c r="L28" i="18"/>
  <c r="O28" i="18" s="1"/>
  <c r="N271" i="1"/>
  <c r="L13" i="1"/>
  <c r="O13" i="1" s="1"/>
  <c r="O331" i="9"/>
  <c r="L329" i="9"/>
  <c r="O329" i="9" s="1"/>
  <c r="O312" i="19"/>
  <c r="L310" i="19"/>
  <c r="O310" i="19" s="1"/>
  <c r="O96" i="12"/>
  <c r="L94" i="12"/>
  <c r="O94" i="12" s="1"/>
  <c r="N37" i="12"/>
  <c r="L220" i="9"/>
  <c r="O220" i="9" s="1"/>
  <c r="O222" i="9"/>
  <c r="O252" i="7"/>
  <c r="L250" i="7"/>
  <c r="O250" i="7" s="1"/>
  <c r="O292" i="11"/>
  <c r="L290" i="11"/>
  <c r="O290" i="11" s="1"/>
  <c r="N37" i="14"/>
  <c r="O222" i="6"/>
  <c r="L220" i="6"/>
  <c r="O220" i="6" s="1"/>
  <c r="N8" i="18"/>
  <c r="M118" i="1"/>
  <c r="L20" i="20"/>
  <c r="O22" i="20"/>
  <c r="O273" i="5"/>
  <c r="L271" i="5"/>
  <c r="O271" i="5" s="1"/>
  <c r="O271" i="12"/>
  <c r="O120" i="5"/>
  <c r="L118" i="5"/>
  <c r="O118" i="5" s="1"/>
  <c r="O331" i="12"/>
  <c r="L329" i="12"/>
  <c r="O329" i="12" s="1"/>
  <c r="N37" i="2"/>
  <c r="L273" i="1"/>
  <c r="O273" i="1" s="1"/>
  <c r="P18" i="14"/>
  <c r="P20" i="16"/>
  <c r="O142" i="7"/>
  <c r="L140" i="7"/>
  <c r="O140" i="7" s="1"/>
  <c r="O96" i="19"/>
  <c r="L94" i="19"/>
  <c r="O94" i="19" s="1"/>
  <c r="L41" i="21"/>
  <c r="O41" i="21" s="1"/>
  <c r="O43" i="21"/>
  <c r="P20" i="3"/>
  <c r="M18" i="3"/>
  <c r="P18" i="3" s="1"/>
  <c r="P20" i="9"/>
  <c r="M18" i="9"/>
  <c r="P18" i="9" s="1"/>
  <c r="P20" i="8"/>
  <c r="M18" i="8"/>
  <c r="P18" i="8" s="1"/>
  <c r="O43" i="18"/>
  <c r="L41" i="18"/>
  <c r="P9" i="4"/>
  <c r="P41" i="3"/>
  <c r="M37" i="3"/>
  <c r="P66" i="2"/>
  <c r="M66" i="1"/>
  <c r="O638" i="14"/>
  <c r="L636" i="14"/>
  <c r="O636" i="14" s="1"/>
  <c r="M37" i="20"/>
  <c r="P41" i="20"/>
  <c r="O22" i="9"/>
  <c r="L12" i="9"/>
  <c r="L20" i="9"/>
  <c r="O222" i="13"/>
  <c r="L220" i="13"/>
  <c r="O220" i="13" s="1"/>
  <c r="P9" i="18"/>
  <c r="P9" i="1"/>
  <c r="O94" i="2"/>
  <c r="P331" i="11"/>
  <c r="M329" i="11"/>
  <c r="P329" i="11" s="1"/>
  <c r="O120" i="19"/>
  <c r="L118" i="19"/>
  <c r="O118" i="19" s="1"/>
  <c r="O41" i="9"/>
  <c r="O41" i="6"/>
  <c r="O55" i="7"/>
  <c r="L53" i="7"/>
  <c r="O53" i="7" s="1"/>
  <c r="P331" i="10"/>
  <c r="M329" i="10"/>
  <c r="P329" i="10" s="1"/>
  <c r="O331" i="17"/>
  <c r="L329" i="17"/>
  <c r="O329" i="17" s="1"/>
  <c r="M10" i="19"/>
  <c r="P10" i="19" s="1"/>
  <c r="P12" i="19"/>
  <c r="P26" i="20"/>
  <c r="M16" i="20"/>
  <c r="M20" i="20"/>
  <c r="O68" i="4"/>
  <c r="L66" i="4"/>
  <c r="O66" i="4" s="1"/>
  <c r="N8" i="12"/>
  <c r="P26" i="12"/>
  <c r="M16" i="12"/>
  <c r="M20" i="12"/>
  <c r="O22" i="14"/>
  <c r="L12" i="14"/>
  <c r="L20" i="14"/>
  <c r="O292" i="10"/>
  <c r="L290" i="10"/>
  <c r="O290" i="10" s="1"/>
  <c r="N28" i="13"/>
  <c r="O30" i="13"/>
  <c r="M12" i="1"/>
  <c r="P22" i="1"/>
  <c r="M10" i="4"/>
  <c r="P10" i="4" s="1"/>
  <c r="P12" i="4"/>
  <c r="N8" i="10"/>
  <c r="O9" i="17"/>
  <c r="L636" i="15"/>
  <c r="O636" i="15" s="1"/>
  <c r="O638" i="15"/>
  <c r="P41" i="15"/>
  <c r="M37" i="15"/>
  <c r="P37" i="15" s="1"/>
  <c r="P96" i="9"/>
  <c r="M94" i="9"/>
  <c r="P94" i="9" s="1"/>
  <c r="M290" i="1"/>
  <c r="P12" i="13"/>
  <c r="O41" i="19"/>
  <c r="L292" i="1"/>
  <c r="O292" i="1" s="1"/>
  <c r="O292" i="2"/>
  <c r="L290" i="2"/>
  <c r="P220" i="3"/>
  <c r="O12" i="12"/>
  <c r="L10" i="12"/>
  <c r="P41" i="13"/>
  <c r="M37" i="13"/>
  <c r="L20" i="4"/>
  <c r="O22" i="4"/>
  <c r="L12" i="4"/>
  <c r="N636" i="12"/>
  <c r="O636" i="12" s="1"/>
  <c r="O638" i="12"/>
  <c r="L636" i="7"/>
  <c r="O636" i="7" s="1"/>
  <c r="O638" i="7"/>
  <c r="O22" i="6"/>
  <c r="L12" i="6"/>
  <c r="L20" i="6"/>
  <c r="O9" i="4"/>
  <c r="P9" i="20"/>
  <c r="P220" i="21"/>
  <c r="P49" i="1"/>
  <c r="M26" i="1"/>
  <c r="M20" i="1" s="1"/>
  <c r="P9" i="5"/>
  <c r="P53" i="14"/>
  <c r="M37" i="14"/>
  <c r="O22" i="2"/>
  <c r="L12" i="2"/>
  <c r="L20" i="2"/>
  <c r="O43" i="15"/>
  <c r="L41" i="15"/>
  <c r="P9" i="17"/>
  <c r="O57" i="1"/>
  <c r="L55" i="1"/>
  <c r="L636" i="9"/>
  <c r="O636" i="9" s="1"/>
  <c r="O638" i="9"/>
  <c r="P331" i="12"/>
  <c r="M329" i="12"/>
  <c r="O43" i="14"/>
  <c r="L41" i="14"/>
  <c r="O9" i="5"/>
  <c r="M43" i="1"/>
  <c r="P273" i="1"/>
  <c r="L41" i="10"/>
  <c r="O43" i="10"/>
  <c r="O41" i="11"/>
  <c r="P12" i="15"/>
  <c r="M10" i="15"/>
  <c r="P10" i="15" s="1"/>
  <c r="N18" i="18"/>
  <c r="P18" i="18" s="1"/>
  <c r="O273" i="13"/>
  <c r="L271" i="13"/>
  <c r="O271" i="13" s="1"/>
  <c r="P222" i="1"/>
  <c r="L636" i="1"/>
  <c r="O636" i="1" s="1"/>
  <c r="O638" i="1"/>
  <c r="P53" i="2"/>
  <c r="L636" i="4"/>
  <c r="O636" i="4" s="1"/>
  <c r="O638" i="4"/>
  <c r="O66" i="8"/>
  <c r="N37" i="8"/>
  <c r="O638" i="20"/>
  <c r="L636" i="20"/>
  <c r="O636" i="20" s="1"/>
  <c r="O29" i="9"/>
  <c r="L28" i="9"/>
  <c r="O28" i="9" s="1"/>
  <c r="P20" i="19"/>
  <c r="M18" i="19"/>
  <c r="P18" i="19" s="1"/>
  <c r="P26" i="9"/>
  <c r="M16" i="9"/>
  <c r="P16" i="9" s="1"/>
  <c r="O252" i="15"/>
  <c r="L250" i="15"/>
  <c r="O250" i="15" s="1"/>
  <c r="P12" i="3"/>
  <c r="P41" i="4"/>
  <c r="M37" i="4"/>
  <c r="P26" i="5"/>
  <c r="M16" i="5"/>
  <c r="M20" i="5"/>
  <c r="O29" i="10"/>
  <c r="L28" i="10"/>
  <c r="O28" i="10" s="1"/>
  <c r="P20" i="17"/>
  <c r="P9" i="16"/>
  <c r="O29" i="4"/>
  <c r="L28" i="4"/>
  <c r="O28" i="4" s="1"/>
  <c r="P9" i="13"/>
  <c r="P9" i="12"/>
  <c r="N37" i="21"/>
  <c r="O55" i="6"/>
  <c r="L53" i="6"/>
  <c r="O53" i="6" s="1"/>
  <c r="O142" i="12"/>
  <c r="L140" i="12"/>
  <c r="O140" i="12" s="1"/>
  <c r="L28" i="11"/>
  <c r="O28" i="11" s="1"/>
  <c r="O29" i="11"/>
  <c r="P12" i="9"/>
  <c r="P9" i="6"/>
  <c r="L9" i="3"/>
  <c r="O11" i="3"/>
  <c r="O29" i="7"/>
  <c r="L28" i="7"/>
  <c r="O41" i="13"/>
  <c r="L636" i="19"/>
  <c r="O636" i="19" s="1"/>
  <c r="O638" i="19"/>
  <c r="P220" i="2"/>
  <c r="M220" i="1"/>
  <c r="L41" i="16"/>
  <c r="O43" i="16"/>
  <c r="O34" i="1"/>
  <c r="O41" i="3"/>
  <c r="P271" i="3"/>
  <c r="P118" i="4"/>
  <c r="L290" i="7"/>
  <c r="O290" i="7" s="1"/>
  <c r="O292" i="7"/>
  <c r="N37" i="13"/>
  <c r="M18" i="15"/>
  <c r="P18" i="15" s="1"/>
  <c r="L636" i="17"/>
  <c r="O636" i="17" s="1"/>
  <c r="O638" i="17"/>
  <c r="P26" i="16"/>
  <c r="M16" i="16"/>
  <c r="P16" i="16" s="1"/>
  <c r="M140" i="1"/>
  <c r="N20" i="1"/>
  <c r="N18" i="1" s="1"/>
  <c r="O43" i="17"/>
  <c r="L41" i="17"/>
  <c r="P20" i="4"/>
  <c r="M18" i="4"/>
  <c r="P18" i="4" s="1"/>
  <c r="P331" i="2"/>
  <c r="M331" i="1"/>
  <c r="P331" i="1" s="1"/>
  <c r="M329" i="2"/>
  <c r="M37" i="2" s="1"/>
  <c r="O96" i="9"/>
  <c r="L94" i="9"/>
  <c r="O94" i="9" s="1"/>
  <c r="P12" i="7"/>
  <c r="M10" i="7"/>
  <c r="P10" i="7" s="1"/>
  <c r="P41" i="8"/>
  <c r="M37" i="8"/>
  <c r="O9" i="19"/>
  <c r="P20" i="21"/>
  <c r="M18" i="21"/>
  <c r="P18" i="21" s="1"/>
  <c r="P12" i="14"/>
  <c r="O120" i="6"/>
  <c r="L118" i="6"/>
  <c r="O22" i="15"/>
  <c r="L12" i="15"/>
  <c r="L20" i="15"/>
  <c r="M18" i="16"/>
  <c r="P18" i="16" s="1"/>
  <c r="O222" i="19"/>
  <c r="L220" i="19"/>
  <c r="O220" i="19" s="1"/>
  <c r="O96" i="15"/>
  <c r="L94" i="15"/>
  <c r="O94" i="15" s="1"/>
  <c r="P9" i="2"/>
  <c r="L20" i="11"/>
  <c r="L12" i="11"/>
  <c r="O22" i="11"/>
  <c r="L636" i="13"/>
  <c r="O636" i="13" s="1"/>
  <c r="O638" i="13"/>
  <c r="P331" i="17"/>
  <c r="M329" i="17"/>
  <c r="P329" i="17" s="1"/>
  <c r="P9" i="19"/>
  <c r="L120" i="1"/>
  <c r="O120" i="1" s="1"/>
  <c r="O29" i="3"/>
  <c r="L28" i="3"/>
  <c r="O28" i="3" s="1"/>
  <c r="O31" i="1"/>
  <c r="L29" i="1"/>
  <c r="L11" i="1"/>
  <c r="O22" i="10"/>
  <c r="L12" i="10"/>
  <c r="L20" i="10"/>
  <c r="N140" i="1"/>
  <c r="P140" i="2"/>
  <c r="N8" i="2"/>
  <c r="P94" i="2"/>
  <c r="O53" i="12"/>
  <c r="P20" i="11"/>
  <c r="M18" i="11"/>
  <c r="P18" i="11" s="1"/>
  <c r="M271" i="1"/>
  <c r="N28" i="7"/>
  <c r="O30" i="7"/>
  <c r="L28" i="17"/>
  <c r="O28" i="17" s="1"/>
  <c r="L22" i="1"/>
  <c r="O45" i="1"/>
  <c r="L43" i="1"/>
  <c r="O22" i="19"/>
  <c r="L12" i="19"/>
  <c r="L20" i="19"/>
  <c r="O120" i="12"/>
  <c r="L118" i="12"/>
  <c r="O118" i="12" s="1"/>
  <c r="L9" i="10"/>
  <c r="O11" i="10"/>
  <c r="P9" i="15"/>
  <c r="O9" i="20"/>
  <c r="N37" i="3"/>
  <c r="P26" i="2"/>
  <c r="M16" i="2"/>
  <c r="P16" i="2" s="1"/>
  <c r="O41" i="4"/>
  <c r="M310" i="1"/>
  <c r="P310" i="1" s="1"/>
  <c r="O43" i="8"/>
  <c r="L41" i="8"/>
  <c r="L140" i="13"/>
  <c r="O140" i="13" s="1"/>
  <c r="O142" i="13"/>
  <c r="P53" i="19"/>
  <c r="M10" i="21"/>
  <c r="P10" i="21" s="1"/>
  <c r="P12" i="21"/>
  <c r="L142" i="1"/>
  <c r="O142" i="1" s="1"/>
  <c r="L30" i="1"/>
  <c r="O30" i="1" s="1"/>
  <c r="O32" i="1"/>
  <c r="M18" i="10"/>
  <c r="P18" i="10" s="1"/>
  <c r="O638" i="8"/>
  <c r="L636" i="8"/>
  <c r="O636" i="8" s="1"/>
  <c r="P312" i="1"/>
  <c r="O271" i="3"/>
  <c r="P12" i="10"/>
  <c r="M10" i="10"/>
  <c r="P10" i="10" s="1"/>
  <c r="P12" i="17"/>
  <c r="P43" i="16"/>
  <c r="M41" i="16"/>
  <c r="L28" i="12"/>
  <c r="O28" i="12" s="1"/>
  <c r="O29" i="16"/>
  <c r="L28" i="16"/>
  <c r="O28" i="16" s="1"/>
  <c r="L636" i="16"/>
  <c r="O636" i="16" s="1"/>
  <c r="O638" i="16"/>
  <c r="M250" i="1"/>
  <c r="L20" i="16"/>
  <c r="O22" i="16"/>
  <c r="L12" i="16"/>
  <c r="L10" i="3"/>
  <c r="O10" i="3" s="1"/>
  <c r="O12" i="3"/>
  <c r="P329" i="3"/>
  <c r="P41" i="5"/>
  <c r="P12" i="8"/>
  <c r="O118" i="4"/>
  <c r="O30" i="20"/>
  <c r="L28" i="20"/>
  <c r="O28" i="20" s="1"/>
  <c r="L636" i="6"/>
  <c r="O636" i="6" s="1"/>
  <c r="O638" i="6"/>
  <c r="L20" i="8"/>
  <c r="O22" i="8"/>
  <c r="L12" i="8"/>
  <c r="L20" i="13"/>
  <c r="L12" i="13"/>
  <c r="O22" i="13"/>
  <c r="O638" i="2"/>
  <c r="L636" i="2"/>
  <c r="O636" i="2" s="1"/>
  <c r="O29" i="5"/>
  <c r="L28" i="5"/>
  <c r="O28" i="5" s="1"/>
  <c r="O29" i="15"/>
  <c r="L28" i="15"/>
  <c r="O28" i="15" s="1"/>
  <c r="M18" i="17"/>
  <c r="P18" i="17" s="1"/>
  <c r="P9" i="14"/>
  <c r="P20" i="14"/>
  <c r="P9" i="21"/>
  <c r="P12" i="16"/>
  <c r="P94" i="13"/>
  <c r="L28" i="14"/>
  <c r="O28" i="14" s="1"/>
  <c r="O29" i="14"/>
  <c r="O29" i="8"/>
  <c r="L28" i="8"/>
  <c r="O28" i="8" s="1"/>
  <c r="P12" i="12"/>
  <c r="M20" i="2"/>
  <c r="N220" i="1"/>
  <c r="L9" i="2"/>
  <c r="O11" i="2"/>
  <c r="P292" i="1"/>
  <c r="P41" i="6"/>
  <c r="O329" i="3"/>
  <c r="P331" i="16"/>
  <c r="M329" i="16"/>
  <c r="P329" i="16" s="1"/>
  <c r="P9" i="10"/>
  <c r="N37" i="4"/>
  <c r="L16" i="1"/>
  <c r="O16" i="1" s="1"/>
  <c r="O26" i="1"/>
  <c r="O331" i="2"/>
  <c r="L331" i="1"/>
  <c r="O331" i="1" s="1"/>
  <c r="L329" i="2"/>
  <c r="L20" i="18"/>
  <c r="O22" i="18"/>
  <c r="L12" i="18"/>
  <c r="P9" i="11"/>
  <c r="P26" i="3"/>
  <c r="M16" i="3"/>
  <c r="P16" i="3" s="1"/>
  <c r="M37" i="21"/>
  <c r="P26" i="8"/>
  <c r="M16" i="8"/>
  <c r="P16" i="8" s="1"/>
  <c r="M10" i="11"/>
  <c r="P10" i="11" s="1"/>
  <c r="O11" i="15"/>
  <c r="L9" i="15"/>
  <c r="O12" i="20"/>
  <c r="L10" i="20"/>
  <c r="O10" i="20" s="1"/>
  <c r="L20" i="7"/>
  <c r="O22" i="7"/>
  <c r="L12" i="7"/>
  <c r="O252" i="9"/>
  <c r="L250" i="9"/>
  <c r="O250" i="9" s="1"/>
  <c r="L9" i="9"/>
  <c r="O11" i="9"/>
  <c r="P41" i="9"/>
  <c r="L9" i="11"/>
  <c r="O11" i="11"/>
  <c r="P41" i="10"/>
  <c r="M16" i="13"/>
  <c r="P26" i="13"/>
  <c r="M20" i="13"/>
  <c r="L20" i="17"/>
  <c r="O22" i="17"/>
  <c r="L12" i="17"/>
  <c r="O11" i="14"/>
  <c r="L9" i="14"/>
  <c r="O11" i="16"/>
  <c r="L9" i="16"/>
  <c r="O273" i="11"/>
  <c r="L271" i="11"/>
  <c r="O271" i="11" s="1"/>
  <c r="P55" i="1"/>
  <c r="M53" i="1"/>
  <c r="P53" i="1" s="1"/>
  <c r="P9" i="7"/>
  <c r="O292" i="14"/>
  <c r="L290" i="14"/>
  <c r="O290" i="14" s="1"/>
  <c r="P12" i="6"/>
  <c r="P12" i="2"/>
  <c r="O29" i="2"/>
  <c r="L28" i="2"/>
  <c r="O28" i="2" s="1"/>
  <c r="O68" i="6"/>
  <c r="L66" i="6"/>
  <c r="O66" i="6" s="1"/>
  <c r="O9" i="7"/>
  <c r="O9" i="8"/>
  <c r="P290" i="1" l="1"/>
  <c r="M10" i="17"/>
  <c r="P10" i="17" s="1"/>
  <c r="O12" i="5"/>
  <c r="M37" i="5"/>
  <c r="P37" i="5" s="1"/>
  <c r="M10" i="18"/>
  <c r="P10" i="18" s="1"/>
  <c r="M37" i="19"/>
  <c r="P37" i="19" s="1"/>
  <c r="M18" i="7"/>
  <c r="P18" i="7" s="1"/>
  <c r="L8" i="21"/>
  <c r="O8" i="21" s="1"/>
  <c r="M37" i="6"/>
  <c r="P37" i="6" s="1"/>
  <c r="M10" i="14"/>
  <c r="P10" i="14" s="1"/>
  <c r="P66" i="1"/>
  <c r="P118" i="1"/>
  <c r="L18" i="5"/>
  <c r="O18" i="5" s="1"/>
  <c r="M37" i="7"/>
  <c r="P37" i="7" s="1"/>
  <c r="P20" i="6"/>
  <c r="O28" i="13"/>
  <c r="L37" i="20"/>
  <c r="O37" i="20" s="1"/>
  <c r="P250" i="1"/>
  <c r="L37" i="3"/>
  <c r="O37" i="3" s="1"/>
  <c r="M37" i="11"/>
  <c r="P37" i="11" s="1"/>
  <c r="L18" i="21"/>
  <c r="O18" i="21" s="1"/>
  <c r="M37" i="18"/>
  <c r="P37" i="18" s="1"/>
  <c r="O20" i="3"/>
  <c r="M10" i="6"/>
  <c r="P10" i="6" s="1"/>
  <c r="O20" i="12"/>
  <c r="L37" i="21"/>
  <c r="O37" i="21" s="1"/>
  <c r="P37" i="20"/>
  <c r="P271" i="1"/>
  <c r="N8" i="1"/>
  <c r="M37" i="9"/>
  <c r="P37" i="9" s="1"/>
  <c r="L37" i="4"/>
  <c r="O37" i="4" s="1"/>
  <c r="M8" i="7"/>
  <c r="P8" i="7" s="1"/>
  <c r="O10" i="21"/>
  <c r="M37" i="10"/>
  <c r="P37" i="10" s="1"/>
  <c r="L37" i="2"/>
  <c r="O37" i="2" s="1"/>
  <c r="P37" i="14"/>
  <c r="P37" i="2"/>
  <c r="M94" i="1"/>
  <c r="P94" i="1" s="1"/>
  <c r="P220" i="1"/>
  <c r="L310" i="1"/>
  <c r="O310" i="1" s="1"/>
  <c r="N37" i="1"/>
  <c r="M10" i="2"/>
  <c r="M8" i="10"/>
  <c r="P8" i="10" s="1"/>
  <c r="M10" i="8"/>
  <c r="M8" i="8" s="1"/>
  <c r="P8" i="8" s="1"/>
  <c r="L37" i="12"/>
  <c r="O37" i="12" s="1"/>
  <c r="L37" i="5"/>
  <c r="O37" i="5" s="1"/>
  <c r="P140" i="1"/>
  <c r="M10" i="9"/>
  <c r="P10" i="9" s="1"/>
  <c r="L8" i="5"/>
  <c r="O8" i="5" s="1"/>
  <c r="O20" i="20"/>
  <c r="L18" i="20"/>
  <c r="O18" i="20" s="1"/>
  <c r="O20" i="16"/>
  <c r="L18" i="16"/>
  <c r="O18" i="16" s="1"/>
  <c r="O9" i="15"/>
  <c r="M10" i="16"/>
  <c r="O12" i="13"/>
  <c r="L10" i="13"/>
  <c r="O43" i="1"/>
  <c r="L41" i="1"/>
  <c r="O20" i="10"/>
  <c r="L18" i="10"/>
  <c r="O18" i="10" s="1"/>
  <c r="L140" i="1"/>
  <c r="O140" i="1" s="1"/>
  <c r="L271" i="1"/>
  <c r="O271" i="1" s="1"/>
  <c r="O28" i="7"/>
  <c r="P16" i="5"/>
  <c r="M10" i="5"/>
  <c r="O55" i="1"/>
  <c r="L53" i="1"/>
  <c r="O53" i="1" s="1"/>
  <c r="P26" i="1"/>
  <c r="M16" i="1"/>
  <c r="P16" i="1" s="1"/>
  <c r="L10" i="6"/>
  <c r="O12" i="6"/>
  <c r="O20" i="4"/>
  <c r="L18" i="4"/>
  <c r="O18" i="4" s="1"/>
  <c r="L10" i="9"/>
  <c r="O10" i="9" s="1"/>
  <c r="O12" i="9"/>
  <c r="L250" i="1"/>
  <c r="O250" i="1" s="1"/>
  <c r="L10" i="19"/>
  <c r="O12" i="19"/>
  <c r="M8" i="15"/>
  <c r="P8" i="15" s="1"/>
  <c r="M8" i="11"/>
  <c r="P8" i="11" s="1"/>
  <c r="O12" i="17"/>
  <c r="L10" i="17"/>
  <c r="L10" i="7"/>
  <c r="O12" i="7"/>
  <c r="O20" i="13"/>
  <c r="L18" i="13"/>
  <c r="O18" i="13" s="1"/>
  <c r="O12" i="10"/>
  <c r="L10" i="10"/>
  <c r="O10" i="10" s="1"/>
  <c r="M8" i="19"/>
  <c r="P8" i="19" s="1"/>
  <c r="O12" i="11"/>
  <c r="L10" i="11"/>
  <c r="O10" i="11" s="1"/>
  <c r="O41" i="16"/>
  <c r="L37" i="16"/>
  <c r="O37" i="16" s="1"/>
  <c r="L37" i="11"/>
  <c r="O37" i="11" s="1"/>
  <c r="P37" i="13"/>
  <c r="L37" i="19"/>
  <c r="O37" i="19" s="1"/>
  <c r="O20" i="14"/>
  <c r="L18" i="14"/>
  <c r="O18" i="14" s="1"/>
  <c r="O9" i="11"/>
  <c r="L37" i="7"/>
  <c r="O37" i="7" s="1"/>
  <c r="P37" i="4"/>
  <c r="O41" i="14"/>
  <c r="L37" i="14"/>
  <c r="O37" i="14" s="1"/>
  <c r="O12" i="14"/>
  <c r="L10" i="14"/>
  <c r="O10" i="14" s="1"/>
  <c r="P20" i="20"/>
  <c r="M18" i="20"/>
  <c r="P18" i="20" s="1"/>
  <c r="O9" i="14"/>
  <c r="O12" i="8"/>
  <c r="L10" i="8"/>
  <c r="O20" i="11"/>
  <c r="L18" i="11"/>
  <c r="O18" i="11" s="1"/>
  <c r="O20" i="7"/>
  <c r="L18" i="7"/>
  <c r="O18" i="7" s="1"/>
  <c r="O11" i="1"/>
  <c r="L9" i="1"/>
  <c r="O41" i="17"/>
  <c r="L37" i="17"/>
  <c r="O37" i="17" s="1"/>
  <c r="O41" i="10"/>
  <c r="L37" i="10"/>
  <c r="O37" i="10" s="1"/>
  <c r="O10" i="12"/>
  <c r="L8" i="12"/>
  <c r="O8" i="12" s="1"/>
  <c r="P20" i="1"/>
  <c r="M18" i="1"/>
  <c r="P18" i="1" s="1"/>
  <c r="P16" i="20"/>
  <c r="M10" i="20"/>
  <c r="P37" i="3"/>
  <c r="P16" i="13"/>
  <c r="M10" i="13"/>
  <c r="O12" i="18"/>
  <c r="L10" i="18"/>
  <c r="O22" i="1"/>
  <c r="L12" i="1"/>
  <c r="L20" i="1"/>
  <c r="M8" i="21"/>
  <c r="P8" i="21" s="1"/>
  <c r="P20" i="13"/>
  <c r="M18" i="13"/>
  <c r="P18" i="13" s="1"/>
  <c r="O20" i="18"/>
  <c r="L18" i="18"/>
  <c r="O18" i="18" s="1"/>
  <c r="O9" i="2"/>
  <c r="O20" i="8"/>
  <c r="L18" i="8"/>
  <c r="O18" i="8" s="1"/>
  <c r="L10" i="16"/>
  <c r="O10" i="16" s="1"/>
  <c r="O12" i="16"/>
  <c r="O41" i="8"/>
  <c r="L37" i="8"/>
  <c r="O37" i="8" s="1"/>
  <c r="O29" i="1"/>
  <c r="L28" i="1"/>
  <c r="O28" i="1" s="1"/>
  <c r="O20" i="15"/>
  <c r="L18" i="15"/>
  <c r="O18" i="15" s="1"/>
  <c r="P329" i="12"/>
  <c r="M37" i="12"/>
  <c r="P37" i="12" s="1"/>
  <c r="O41" i="15"/>
  <c r="L37" i="15"/>
  <c r="O37" i="15" s="1"/>
  <c r="M37" i="17"/>
  <c r="P37" i="17" s="1"/>
  <c r="P12" i="1"/>
  <c r="P20" i="12"/>
  <c r="M18" i="12"/>
  <c r="P18" i="12" s="1"/>
  <c r="O9" i="10"/>
  <c r="O20" i="17"/>
  <c r="L18" i="17"/>
  <c r="O18" i="17" s="1"/>
  <c r="O9" i="16"/>
  <c r="P37" i="21"/>
  <c r="O329" i="2"/>
  <c r="L329" i="1"/>
  <c r="O329" i="1" s="1"/>
  <c r="L66" i="1"/>
  <c r="O66" i="1" s="1"/>
  <c r="L8" i="20"/>
  <c r="O8" i="20" s="1"/>
  <c r="L18" i="19"/>
  <c r="O18" i="19" s="1"/>
  <c r="O20" i="19"/>
  <c r="L10" i="15"/>
  <c r="O10" i="15" s="1"/>
  <c r="O12" i="15"/>
  <c r="P329" i="2"/>
  <c r="M329" i="1"/>
  <c r="P329" i="1" s="1"/>
  <c r="O9" i="3"/>
  <c r="L8" i="3"/>
  <c r="O8" i="3" s="1"/>
  <c r="M10" i="3"/>
  <c r="P43" i="1"/>
  <c r="M41" i="1"/>
  <c r="P16" i="12"/>
  <c r="M10" i="12"/>
  <c r="L37" i="6"/>
  <c r="O37" i="6" s="1"/>
  <c r="L94" i="1"/>
  <c r="O94" i="1" s="1"/>
  <c r="L220" i="1"/>
  <c r="O220" i="1" s="1"/>
  <c r="M8" i="4"/>
  <c r="P8" i="4" s="1"/>
  <c r="O9" i="9"/>
  <c r="O20" i="2"/>
  <c r="L18" i="2"/>
  <c r="O18" i="2" s="1"/>
  <c r="O12" i="4"/>
  <c r="L10" i="4"/>
  <c r="O290" i="2"/>
  <c r="L290" i="1"/>
  <c r="O290" i="1" s="1"/>
  <c r="P20" i="2"/>
  <c r="M18" i="2"/>
  <c r="P18" i="2" s="1"/>
  <c r="P41" i="16"/>
  <c r="M37" i="16"/>
  <c r="P37" i="16" s="1"/>
  <c r="O118" i="6"/>
  <c r="L118" i="1"/>
  <c r="O118" i="1" s="1"/>
  <c r="P37" i="8"/>
  <c r="L37" i="13"/>
  <c r="O37" i="13" s="1"/>
  <c r="P20" i="5"/>
  <c r="M18" i="5"/>
  <c r="P18" i="5" s="1"/>
  <c r="L10" i="2"/>
  <c r="O10" i="2" s="1"/>
  <c r="O12" i="2"/>
  <c r="O20" i="6"/>
  <c r="L18" i="6"/>
  <c r="O18" i="6" s="1"/>
  <c r="L37" i="9"/>
  <c r="O37" i="9" s="1"/>
  <c r="O20" i="9"/>
  <c r="L18" i="9"/>
  <c r="O18" i="9" s="1"/>
  <c r="O41" i="18"/>
  <c r="L37" i="18"/>
  <c r="O37" i="18" s="1"/>
  <c r="M8" i="17" l="1"/>
  <c r="P8" i="17" s="1"/>
  <c r="M8" i="18"/>
  <c r="P8" i="18" s="1"/>
  <c r="M8" i="14"/>
  <c r="P8" i="14" s="1"/>
  <c r="M8" i="6"/>
  <c r="P8" i="6" s="1"/>
  <c r="P10" i="8"/>
  <c r="M8" i="9"/>
  <c r="P8" i="9" s="1"/>
  <c r="L8" i="11"/>
  <c r="O8" i="11" s="1"/>
  <c r="L8" i="10"/>
  <c r="O8" i="10" s="1"/>
  <c r="L8" i="9"/>
  <c r="O8" i="9" s="1"/>
  <c r="M10" i="1"/>
  <c r="P10" i="1" s="1"/>
  <c r="P10" i="2"/>
  <c r="M8" i="2"/>
  <c r="P8" i="2" s="1"/>
  <c r="L8" i="2"/>
  <c r="O8" i="2" s="1"/>
  <c r="L10" i="1"/>
  <c r="O10" i="1" s="1"/>
  <c r="O12" i="1"/>
  <c r="P10" i="5"/>
  <c r="M8" i="5"/>
  <c r="P8" i="5" s="1"/>
  <c r="O10" i="4"/>
  <c r="L8" i="4"/>
  <c r="O8" i="4" s="1"/>
  <c r="P10" i="3"/>
  <c r="M8" i="3"/>
  <c r="P8" i="3" s="1"/>
  <c r="O9" i="1"/>
  <c r="L8" i="14"/>
  <c r="O8" i="14" s="1"/>
  <c r="O10" i="13"/>
  <c r="L8" i="13"/>
  <c r="O8" i="13" s="1"/>
  <c r="O10" i="18"/>
  <c r="L8" i="18"/>
  <c r="O8" i="18" s="1"/>
  <c r="O10" i="6"/>
  <c r="L8" i="6"/>
  <c r="O8" i="6" s="1"/>
  <c r="P10" i="16"/>
  <c r="M8" i="16"/>
  <c r="P8" i="16" s="1"/>
  <c r="P10" i="13"/>
  <c r="M8" i="13"/>
  <c r="P8" i="13" s="1"/>
  <c r="O10" i="19"/>
  <c r="L8" i="19"/>
  <c r="O8" i="19" s="1"/>
  <c r="L8" i="15"/>
  <c r="O8" i="15" s="1"/>
  <c r="O10" i="7"/>
  <c r="L8" i="7"/>
  <c r="O8" i="7" s="1"/>
  <c r="P10" i="12"/>
  <c r="M8" i="12"/>
  <c r="P8" i="12" s="1"/>
  <c r="M37" i="1"/>
  <c r="P37" i="1" s="1"/>
  <c r="P41" i="1"/>
  <c r="L8" i="16"/>
  <c r="O8" i="16" s="1"/>
  <c r="O20" i="1"/>
  <c r="L18" i="1"/>
  <c r="O18" i="1" s="1"/>
  <c r="P10" i="20"/>
  <c r="M8" i="20"/>
  <c r="P8" i="20" s="1"/>
  <c r="O10" i="8"/>
  <c r="L8" i="8"/>
  <c r="O8" i="8" s="1"/>
  <c r="O10" i="17"/>
  <c r="L8" i="17"/>
  <c r="O8" i="17" s="1"/>
  <c r="O41" i="1"/>
  <c r="L37" i="1"/>
  <c r="O37" i="1" s="1"/>
  <c r="L8" i="1" l="1"/>
  <c r="O8" i="1" s="1"/>
  <c r="M8" i="1"/>
  <c r="P8" i="1" s="1"/>
</calcChain>
</file>

<file path=xl/sharedStrings.xml><?xml version="1.0" encoding="utf-8"?>
<sst xmlns="http://schemas.openxmlformats.org/spreadsheetml/2006/main" count="27636" uniqueCount="301">
  <si>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</si>
  <si>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</si>
  <si>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</si>
  <si>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</si>
  <si>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</si>
  <si>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</si>
  <si>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</si>
  <si>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</si>
  <si>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</si>
  <si>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</si>
  <si>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</si>
  <si>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</si>
  <si>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</si>
  <si>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</si>
  <si>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</si>
  <si>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</si>
  <si>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</si>
  <si>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</si>
  <si>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</si>
  <si>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</si>
  <si>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</si>
  <si>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</si>
  <si>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</si>
  <si>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</si>
  <si>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</si>
  <si>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</si>
  <si>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</si>
  <si>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</si>
  <si>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</si>
  <si>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</si>
  <si>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</si>
  <si>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</si>
  <si>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</si>
  <si>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</si>
  <si>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</si>
  <si>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</si>
  <si>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</si>
  <si>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</si>
  <si>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</si>
  <si>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</si>
  <si>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</si>
  <si>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</si>
  <si>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</si>
  <si>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</si>
  <si>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</si>
  <si>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</si>
  <si>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</si>
  <si>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</si>
  <si>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</si>
  <si>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</si>
  <si>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</si>
  <si>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</si>
  <si>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</si>
  <si>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</si>
  <si>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</si>
  <si>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</si>
  <si>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</si>
  <si>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</si>
  <si>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</si>
  <si>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</si>
  <si>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</si>
  <si>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</si>
  <si>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</si>
  <si>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</si>
  <si>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</si>
  <si>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</si>
  <si>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</si>
  <si>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</si>
  <si>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</si>
  <si>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</si>
  <si>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</si>
  <si>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</si>
  <si>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</si>
  <si>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</si>
  <si>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</si>
  <si>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</si>
  <si>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</si>
  <si>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</si>
  <si>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</si>
  <si>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</si>
  <si>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</si>
  <si>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</si>
  <si>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</si>
  <si>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</si>
  <si>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</si>
  <si>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</si>
  <si>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</si>
  <si>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</si>
  <si>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</si>
  <si>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</si>
  <si>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</si>
  <si>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</si>
  <si>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</si>
  <si>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</si>
  <si>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</si>
  <si>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</si>
  <si>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</si>
  <si>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</si>
  <si>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</si>
  <si>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</si>
  <si>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</si>
  <si>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</si>
  <si>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</si>
  <si>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</si>
  <si>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</si>
  <si>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</si>
  <si>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</si>
  <si>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</si>
  <si>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</si>
  <si>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</si>
  <si>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</si>
  <si>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</si>
  <si>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</si>
  <si>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</si>
  <si>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</si>
  <si>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</si>
  <si>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</si>
  <si>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</si>
  <si>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</si>
  <si>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</si>
  <si>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</si>
  <si>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</si>
  <si>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</si>
  <si>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</si>
  <si>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</si>
  <si>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</si>
  <si>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</si>
  <si>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</si>
  <si>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</si>
  <si>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</si>
  <si>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</si>
  <si>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</si>
  <si>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</si>
  <si>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</si>
  <si>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</si>
  <si>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</si>
  <si>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</si>
  <si>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</si>
  <si>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</si>
  <si>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</si>
  <si>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</si>
  <si>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</si>
  <si>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</si>
  <si>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</si>
  <si>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</si>
  <si>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</si>
  <si>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</si>
  <si>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</si>
  <si>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</si>
  <si>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</si>
  <si>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</si>
  <si>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</si>
  <si>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</si>
  <si>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</si>
  <si>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</si>
  <si>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</si>
  <si>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</si>
  <si>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</si>
  <si>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</si>
  <si>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</si>
  <si>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</si>
  <si>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</si>
  <si>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</si>
  <si>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</si>
  <si>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</si>
  <si>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</si>
  <si>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</si>
  <si>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</si>
  <si>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</si>
  <si>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</si>
  <si>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</si>
  <si>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</si>
  <si>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</si>
  <si>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</si>
  <si>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</si>
  <si>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</si>
  <si>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</si>
  <si>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</si>
  <si>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</si>
  <si>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</si>
  <si>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</si>
  <si>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</si>
  <si>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</si>
  <si>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</si>
  <si>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</si>
  <si>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</si>
  <si>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</si>
  <si>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</si>
  <si>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</si>
  <si>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</si>
  <si>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</si>
  <si>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</si>
  <si>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</si>
  <si>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</si>
  <si>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</si>
  <si>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</si>
  <si>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</si>
  <si>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</si>
  <si>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</si>
  <si>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</si>
  <si>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</si>
  <si>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</si>
  <si>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</si>
  <si>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</si>
  <si>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</si>
  <si>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</si>
  <si>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</si>
  <si>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</si>
  <si>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</si>
  <si>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</si>
  <si>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</si>
  <si>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</si>
  <si>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</si>
  <si>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</si>
  <si>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</si>
  <si>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</si>
  <si>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</si>
  <si>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</si>
  <si>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</si>
  <si>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</si>
  <si>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</si>
  <si>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</si>
  <si>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</si>
  <si>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</si>
  <si>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</si>
  <si>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</si>
  <si>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</si>
  <si>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</si>
  <si>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</si>
  <si>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</si>
  <si>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</si>
  <si>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</si>
  <si>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</si>
  <si>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</si>
  <si>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</si>
  <si>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</si>
  <si>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</si>
  <si>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</si>
  <si>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</si>
  <si>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</si>
  <si>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</si>
  <si>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</si>
  <si>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</si>
  <si>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</si>
  <si>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</si>
  <si>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</si>
  <si>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</si>
  <si>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</si>
  <si>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</si>
  <si>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</si>
  <si>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</si>
  <si>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</si>
  <si>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</si>
  <si>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</si>
  <si>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</si>
  <si>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</si>
  <si>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</si>
  <si>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</si>
  <si>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</si>
  <si>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</si>
  <si>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</si>
  <si>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</si>
  <si>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</si>
  <si>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</si>
  <si>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</si>
  <si>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</si>
  <si>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</si>
  <si>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</si>
  <si>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</si>
  <si>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</si>
  <si>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</si>
  <si>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</si>
  <si>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</si>
  <si>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</si>
  <si>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</si>
  <si>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</si>
  <si>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</si>
  <si>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</si>
  <si>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</si>
  <si>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</si>
  <si>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</si>
  <si>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</si>
  <si>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</si>
  <si>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</si>
  <si>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</si>
  <si>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</si>
  <si>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</si>
  <si>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</si>
  <si>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</si>
  <si>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</si>
  <si>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</si>
  <si>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</si>
  <si>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</si>
  <si>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</si>
  <si>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</si>
  <si>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</si>
  <si>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</si>
  <si>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</si>
  <si>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</si>
  <si>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</si>
  <si>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พฤษภาคม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</si>
</sst>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9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8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188" fontId="15" fillId="32" borderId="52" xfId="0" applyNumberFormat="1" applyFont="1" applyFill="1" applyBorder="1" applyAlignment="1"/>
    <xf numFmtId="188" fontId="16" fillId="32" borderId="52" xfId="0" applyNumberFormat="1" applyFont="1" applyFill="1" applyBorder="1" applyAlignment="1">
      <alignment horizontal="right"/>
    </xf>
    <xf numFmtId="191" fontId="15" fillId="32" borderId="52" xfId="0" applyNumberFormat="1" applyFont="1" applyFill="1" applyBorder="1" applyAlignment="1"/>
    <xf numFmtId="0" fontId="15" fillId="15" borderId="13" xfId="0" applyFont="1" applyFill="1" applyBorder="1" applyAlignment="1"/>
    <xf numFmtId="0" fontId="15" fillId="15" borderId="14" xfId="0" applyFont="1" applyFill="1" applyBorder="1" applyAlignment="1"/>
    <xf numFmtId="0" fontId="16" fillId="15" borderId="14" xfId="0" applyFont="1" applyFill="1" applyBorder="1" applyAlignment="1"/>
    <xf numFmtId="0" fontId="18" fillId="15" borderId="16" xfId="0" applyFont="1" applyFill="1" applyBorder="1" applyAlignment="1"/>
    <xf numFmtId="0" fontId="18" fillId="0" borderId="16" xfId="0" applyFont="1" applyBorder="1" applyAlignment="1">
      <alignment horizontal="center"/>
    </xf>
    <xf numFmtId="3" fontId="15" fillId="0" borderId="16" xfId="0" applyNumberFormat="1" applyFont="1" applyBorder="1" applyAlignment="1"/>
    <xf numFmtId="0" fontId="15" fillId="0" borderId="16" xfId="0" applyFont="1" applyBorder="1" applyAlignment="1"/>
    <xf numFmtId="188" fontId="15" fillId="0" borderId="16" xfId="0" applyNumberFormat="1" applyFont="1" applyBorder="1" applyAlignment="1"/>
    <xf numFmtId="188" fontId="16" fillId="15" borderId="16" xfId="0" applyNumberFormat="1" applyFont="1" applyFill="1" applyBorder="1" applyAlignment="1">
      <alignment horizontal="right"/>
    </xf>
    <xf numFmtId="191" fontId="15" fillId="0" borderId="16" xfId="0" applyNumberFormat="1" applyFont="1" applyBorder="1" applyAlignment="1"/>
    <xf numFmtId="188" fontId="18" fillId="15" borderId="16" xfId="0" applyNumberFormat="1" applyFont="1" applyFill="1" applyBorder="1" applyAlignment="1">
      <alignment horizontal="right"/>
    </xf>
    <xf numFmtId="0" fontId="15" fillId="15" borderId="16" xfId="0" applyFont="1" applyFill="1" applyBorder="1" applyAlignment="1"/>
    <xf numFmtId="188" fontId="15" fillId="15" borderId="16" xfId="0" applyNumberFormat="1" applyFont="1" applyFill="1" applyBorder="1" applyAlignment="1"/>
    <xf numFmtId="3" fontId="15" fillId="15" borderId="16" xfId="0" applyNumberFormat="1" applyFont="1" applyFill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8" fillId="23" borderId="14" xfId="0" applyFont="1" applyFill="1" applyBorder="1" applyAlignment="1">
      <alignment horizontal="right"/>
    </xf>
    <xf numFmtId="187" fontId="15" fillId="15" borderId="16" xfId="0" applyNumberFormat="1" applyFont="1" applyFill="1" applyBorder="1" applyAlignment="1"/>
    <xf numFmtId="189" fontId="18" fillId="4" borderId="16" xfId="0" applyNumberFormat="1" applyFont="1" applyFill="1" applyBorder="1" applyAlignment="1">
      <alignment horizontal="right" wrapText="1"/>
    </xf>
    <xf numFmtId="191" fontId="15" fillId="15" borderId="16" xfId="0" applyNumberFormat="1" applyFont="1" applyFill="1" applyBorder="1" applyAlignment="1"/>
    <xf numFmtId="0" fontId="18" fillId="10" borderId="14" xfId="0" applyFont="1" applyFill="1" applyBorder="1" applyAlignment="1">
      <alignment horizontal="right"/>
    </xf>
    <xf numFmtId="187" fontId="18" fillId="15" borderId="16" xfId="0" applyNumberFormat="1" applyFont="1" applyFill="1" applyBorder="1" applyAlignment="1">
      <alignment horizontal="right"/>
    </xf>
    <xf numFmtId="189" fontId="18" fillId="15" borderId="16" xfId="0" applyNumberFormat="1" applyFont="1" applyFill="1" applyBorder="1" applyAlignment="1">
      <alignment horizontal="right"/>
    </xf>
    <xf numFmtId="188" fontId="18" fillId="0" borderId="16" xfId="0" applyNumberFormat="1" applyFont="1" applyBorder="1" applyAlignment="1">
      <alignment horizontal="right"/>
    </xf>
    <xf numFmtId="191" fontId="18" fillId="6" borderId="16" xfId="0" applyNumberFormat="1" applyFont="1" applyFill="1" applyBorder="1" applyAlignment="1">
      <alignment horizontal="right"/>
    </xf>
    <xf numFmtId="187" fontId="15" fillId="0" borderId="16" xfId="0" applyNumberFormat="1" applyFont="1" applyBorder="1" applyAlignment="1"/>
    <xf numFmtId="189" fontId="15" fillId="0" borderId="16" xfId="0" applyNumberFormat="1" applyFont="1" applyBorder="1" applyAlignment="1"/>
    <xf numFmtId="0" fontId="15" fillId="0" borderId="8" xfId="0" applyFont="1" applyBorder="1" applyAlignment="1"/>
    <xf numFmtId="0" fontId="20" fillId="0" borderId="53" xfId="0" applyFont="1" applyBorder="1" applyAlignment="1"/>
    <xf numFmtId="0" fontId="15" fillId="0" borderId="53" xfId="0" applyFont="1" applyBorder="1" applyAlignment="1"/>
    <xf numFmtId="0" fontId="15" fillId="0" borderId="10" xfId="0" applyFont="1" applyBorder="1" applyAlignment="1"/>
    <xf numFmtId="0" fontId="18" fillId="0" borderId="10" xfId="0" applyFont="1" applyBorder="1" applyAlignment="1">
      <alignment horizontal="center"/>
    </xf>
    <xf numFmtId="187" fontId="15" fillId="0" borderId="10" xfId="0" applyNumberFormat="1" applyFont="1" applyBorder="1" applyAlignment="1"/>
    <xf numFmtId="189" fontId="18" fillId="4" borderId="10" xfId="0" applyNumberFormat="1" applyFont="1" applyFill="1" applyBorder="1" applyAlignment="1">
      <alignment horizontal="right" wrapText="1"/>
    </xf>
    <xf numFmtId="188" fontId="15" fillId="0" borderId="10" xfId="0" applyNumberFormat="1" applyFont="1" applyBorder="1" applyAlignment="1"/>
    <xf numFmtId="191" fontId="15" fillId="0" borderId="10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4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192" fontId="2" fillId="2" borderId="19" xfId="0" applyNumberFormat="1" applyFont="1" applyFill="1" applyBorder="1" applyAlignment="1">
      <alignment horizontal="right" vertical="center" wrapText="1"/>
    </xf>
    <xf numFmtId="0" fontId="24" fillId="8" borderId="12" xfId="0" applyFont="1" applyFill="1" applyBorder="1" applyAlignment="1"/>
    <xf numFmtId="189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>
      <alignment horizontal="center"/>
    </xf>
    <xf numFmtId="188" fontId="24" fillId="8" borderId="12" xfId="0" applyNumberFormat="1" applyFont="1" applyFill="1" applyBorder="1" applyAlignment="1">
      <alignment horizontal="right"/>
    </xf>
    <xf numFmtId="0" fontId="25" fillId="11" borderId="12" xfId="0" applyFont="1" applyFill="1" applyBorder="1" applyAlignment="1">
      <alignment horizontal="left"/>
    </xf>
    <xf numFmtId="189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/>
    <xf numFmtId="0" fontId="24" fillId="12" borderId="13" xfId="0" applyFont="1" applyFill="1" applyBorder="1" applyAlignment="1"/>
    <xf numFmtId="0" fontId="24" fillId="12" borderId="15" xfId="0" applyFont="1" applyFill="1" applyBorder="1" applyAlignment="1">
      <alignment horizontal="center"/>
    </xf>
    <xf numFmtId="189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/>
    <xf numFmtId="0" fontId="24" fillId="13" borderId="17" xfId="0" applyFont="1" applyFill="1" applyBorder="1" applyAlignment="1"/>
    <xf numFmtId="0" fontId="24" fillId="13" borderId="18" xfId="0" applyFont="1" applyFill="1" applyBorder="1" applyAlignment="1">
      <alignment horizontal="left"/>
    </xf>
    <xf numFmtId="0" fontId="24" fillId="13" borderId="18" xfId="0" applyFont="1" applyFill="1" applyBorder="1" applyAlignment="1"/>
    <xf numFmtId="0" fontId="24" fillId="13" borderId="19" xfId="0" applyFont="1" applyFill="1" applyBorder="1" applyAlignment="1">
      <alignment horizontal="center"/>
    </xf>
    <xf numFmtId="189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/>
    <xf numFmtId="188" fontId="26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26" fillId="10" borderId="19" xfId="0" applyNumberFormat="1" applyFont="1" applyFill="1" applyBorder="1" applyAlignment="1">
      <alignment vertical="center"/>
    </xf>
    <xf numFmtId="188" fontId="26" fillId="10" borderId="19" xfId="0" applyNumberFormat="1" applyFont="1" applyFill="1" applyBorder="1" applyAlignment="1">
      <alignment vertical="center"/>
    </xf>
    <xf numFmtId="187" fontId="23" fillId="2" borderId="17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horizontal="left" vertical="center"/>
    </xf>
    <xf numFmtId="0" fontId="27" fillId="2" borderId="18" xfId="0" quotePrefix="1" applyFont="1" applyFill="1" applyBorder="1" applyAlignment="1">
      <alignment vertical="center"/>
    </xf>
    <xf numFmtId="0" fontId="27" fillId="2" borderId="18" xfId="0" applyFont="1" applyFill="1" applyBorder="1" applyAlignment="1">
      <alignment vertical="center"/>
    </xf>
    <xf numFmtId="0" fontId="27" fillId="2" borderId="20" xfId="0" applyFont="1" applyFill="1" applyBorder="1" applyAlignment="1">
      <alignment vertical="center"/>
    </xf>
    <xf numFmtId="0" fontId="27" fillId="2" borderId="19" xfId="0" applyFont="1" applyFill="1" applyBorder="1" applyAlignment="1">
      <alignment horizontal="center" vertical="center" wrapText="1"/>
    </xf>
    <xf numFmtId="189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4" xfId="0" applyFont="1" applyFill="1" applyBorder="1" applyAlignment="1"/>
    <xf numFmtId="0" fontId="3" fillId="0" borderId="16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4" xfId="0" applyFont="1" applyFill="1" applyBorder="1" applyAlignment="1"/>
    <xf numFmtId="0" fontId="19" fillId="22" borderId="14" xfId="0" applyFont="1" applyFill="1" applyBorder="1" applyAlignment="1"/>
    <xf numFmtId="0" fontId="18" fillId="23" borderId="14" xfId="0" applyFont="1" applyFill="1" applyBorder="1" applyAlignment="1"/>
    <xf numFmtId="0" fontId="18" fillId="10" borderId="14" xfId="0" applyFont="1" applyFill="1" applyBorder="1" applyAlignment="1"/>
    <xf numFmtId="0" fontId="18" fillId="15" borderId="18" xfId="0" applyFont="1" applyFill="1" applyBorder="1" applyAlignment="1"/>
    <xf numFmtId="0" fontId="3" fillId="0" borderId="20" xfId="0" applyFont="1" applyBorder="1"/>
    <xf numFmtId="0" fontId="21" fillId="15" borderId="18" xfId="0" applyFont="1" applyFill="1" applyBorder="1" applyAlignment="1"/>
    <xf numFmtId="0" fontId="22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24" fillId="11" borderId="5" xfId="0" applyFont="1" applyFill="1" applyBorder="1" applyAlignment="1">
      <alignment horizontal="left"/>
    </xf>
    <xf numFmtId="0" fontId="24" fillId="12" borderId="14" xfId="0" applyFont="1" applyFill="1" applyBorder="1" applyAlignment="1">
      <alignment horizontal="left"/>
    </xf>
    <xf numFmtId="0" fontId="24" fillId="8" borderId="5" xfId="0" applyFont="1" applyFill="1" applyBorder="1" applyAlignment="1">
      <alignment horizontal="left"/>
    </xf>
    <xf numFmtId="0" fontId="23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activeCell="J81" sqref="J8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0.28515625" customWidth="1"/>
    <col min="8" max="8" width="10.85546875" customWidth="1"/>
    <col min="9" max="9" width="18" bestFit="1" customWidth="1"/>
    <col min="10" max="10" width="16.5703125" bestFit="1" customWidth="1"/>
    <col min="11" max="11" width="10.85546875" bestFit="1" customWidth="1"/>
    <col min="12" max="12" width="21.85546875" bestFit="1" customWidth="1"/>
    <col min="13" max="13" width="20.140625" customWidth="1"/>
    <col min="14" max="14" width="20.14062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1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3" t="s">
        <v>15</v>
      </c>
      <c r="B7" s="648"/>
      <c r="C7" s="648"/>
      <c r="D7" s="648"/>
      <c r="E7" s="648"/>
      <c r="F7" s="648"/>
      <c r="G7" s="64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144676039</v>
      </c>
      <c r="M8" s="23">
        <f t="shared" ca="1" si="0"/>
        <v>73038064.819999993</v>
      </c>
      <c r="N8" s="23">
        <f t="shared" ca="1" si="0"/>
        <v>80052221.819999993</v>
      </c>
      <c r="O8" s="22">
        <f t="shared" ref="O8:O16" ca="1" si="1">IF(L8&gt;0,N8*100/L8,0)</f>
        <v>55.332052476222401</v>
      </c>
      <c r="P8" s="22">
        <f t="shared" ref="P8:P16" ca="1" si="2">IF(M8&gt;0,N8*100/M8,0)</f>
        <v>109.60342667523594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144676039</v>
      </c>
      <c r="M10" s="30">
        <f t="shared" ca="1" si="4"/>
        <v>73038064.819999993</v>
      </c>
      <c r="N10" s="30">
        <f t="shared" ca="1" si="4"/>
        <v>80052221.819999993</v>
      </c>
      <c r="O10" s="29">
        <f t="shared" ca="1" si="1"/>
        <v>55.332052476222401</v>
      </c>
      <c r="P10" s="29">
        <f t="shared" ca="1" si="2"/>
        <v>109.60342667523594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134034440</v>
      </c>
      <c r="M12" s="38">
        <f t="shared" ca="1" si="6"/>
        <v>62396465.82</v>
      </c>
      <c r="N12" s="38">
        <f t="shared" ca="1" si="6"/>
        <v>69410622.819999993</v>
      </c>
      <c r="O12" s="38">
        <f t="shared" ca="1" si="1"/>
        <v>51.785662565531659</v>
      </c>
      <c r="P12" s="38">
        <f t="shared" ca="1" si="2"/>
        <v>111.24127289554232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44637500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89396940</v>
      </c>
      <c r="M14" s="38">
        <f t="shared" si="8"/>
        <v>0</v>
      </c>
      <c r="N14" s="38">
        <f t="shared" ca="1" si="8"/>
        <v>22581923.119999994</v>
      </c>
      <c r="O14" s="38">
        <f t="shared" ca="1" si="1"/>
        <v>25.260286448283349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10641599</v>
      </c>
      <c r="M16" s="38">
        <f t="shared" ca="1" si="10"/>
        <v>10641599</v>
      </c>
      <c r="N16" s="38">
        <f t="shared" ca="1" si="10"/>
        <v>10641599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3" t="s">
        <v>24</v>
      </c>
      <c r="B17" s="648"/>
      <c r="C17" s="648"/>
      <c r="D17" s="648"/>
      <c r="E17" s="648"/>
      <c r="F17" s="648"/>
      <c r="G17" s="64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88402159</v>
      </c>
      <c r="M18" s="23">
        <f t="shared" ca="1" si="11"/>
        <v>73038064.819999993</v>
      </c>
      <c r="N18" s="23">
        <f t="shared" ca="1" si="11"/>
        <v>57470298.699999996</v>
      </c>
      <c r="O18" s="22">
        <f t="shared" ref="O18:O26" ca="1" si="12">IF(L18&gt;0,N18*100/L18,0)</f>
        <v>65.010062367368207</v>
      </c>
      <c r="P18" s="22">
        <f t="shared" ref="P18:P26" ca="1" si="13">IF(M18&gt;0,N18*100/M18,0)</f>
        <v>78.685407179987223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88402159</v>
      </c>
      <c r="M20" s="30">
        <f t="shared" ca="1" si="15"/>
        <v>73038064.819999993</v>
      </c>
      <c r="N20" s="30">
        <f t="shared" ca="1" si="15"/>
        <v>57470298.699999996</v>
      </c>
      <c r="O20" s="29">
        <f t="shared" ca="1" si="12"/>
        <v>65.010062367368207</v>
      </c>
      <c r="P20" s="29">
        <f t="shared" ca="1" si="13"/>
        <v>78.685407179987223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77760560</v>
      </c>
      <c r="M22" s="41">
        <f t="shared" ca="1" si="17"/>
        <v>62396465.82</v>
      </c>
      <c r="N22" s="38">
        <f t="shared" ca="1" si="17"/>
        <v>46828699.699999996</v>
      </c>
      <c r="O22" s="38">
        <f t="shared" ca="1" si="12"/>
        <v>60.221659540517713</v>
      </c>
      <c r="P22" s="38">
        <f t="shared" ca="1" si="13"/>
        <v>75.05024376715572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44637500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33123060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10641599</v>
      </c>
      <c r="M26" s="49">
        <f t="shared" ca="1" si="21"/>
        <v>10641599</v>
      </c>
      <c r="N26" s="49">
        <f t="shared" ca="1" si="21"/>
        <v>10641599</v>
      </c>
      <c r="O26" s="49">
        <f t="shared" ca="1" si="12"/>
        <v>100</v>
      </c>
      <c r="P26" s="49">
        <f t="shared" ca="1" si="13"/>
        <v>100</v>
      </c>
    </row>
    <row r="27" spans="1:16" ht="21.75" customHeight="1" x14ac:dyDescent="0.3">
      <c r="A27" s="653" t="s">
        <v>25</v>
      </c>
      <c r="B27" s="648"/>
      <c r="C27" s="648"/>
      <c r="D27" s="648"/>
      <c r="E27" s="648"/>
      <c r="F27" s="648"/>
      <c r="G27" s="64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2">L29+L30</f>
        <v>56273880</v>
      </c>
      <c r="M28" s="23">
        <f t="shared" si="22"/>
        <v>0</v>
      </c>
      <c r="N28" s="23">
        <f t="shared" ca="1" si="22"/>
        <v>22581923.119999994</v>
      </c>
      <c r="O28" s="22">
        <f t="shared" ref="O28:O30" ca="1" si="23">IF(L28&gt;0,N28*100/L28,0)</f>
        <v>40.128605171706653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56273880</v>
      </c>
      <c r="M30" s="30">
        <f t="shared" si="26"/>
        <v>0</v>
      </c>
      <c r="N30" s="30">
        <f t="shared" ca="1" si="26"/>
        <v>22581923.119999994</v>
      </c>
      <c r="O30" s="29">
        <f t="shared" ca="1" si="23"/>
        <v>40.128605171706653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56273880</v>
      </c>
      <c r="M32" s="38">
        <f t="shared" si="29"/>
        <v>0</v>
      </c>
      <c r="N32" s="38">
        <f t="shared" ca="1" si="29"/>
        <v>22581923.119999994</v>
      </c>
      <c r="O32" s="38">
        <f t="shared" ca="1" si="28"/>
        <v>40.128605171706653</v>
      </c>
      <c r="P32" s="38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56273880</v>
      </c>
      <c r="M34" s="38">
        <f t="shared" si="31"/>
        <v>0</v>
      </c>
      <c r="N34" s="38">
        <f t="shared" ca="1" si="31"/>
        <v>22581923.119999994</v>
      </c>
      <c r="O34" s="38">
        <f t="shared" ca="1" si="28"/>
        <v>40.128605171706653</v>
      </c>
      <c r="P34" s="38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88402159</v>
      </c>
      <c r="M37" s="54">
        <f t="shared" ca="1" si="32"/>
        <v>73038064.819999993</v>
      </c>
      <c r="N37" s="54">
        <f t="shared" ca="1" si="32"/>
        <v>57470298.700000003</v>
      </c>
      <c r="O37" s="55">
        <f t="shared" ca="1" si="28"/>
        <v>65.010062367368207</v>
      </c>
      <c r="P37" s="55">
        <f t="shared" ca="1" si="24"/>
        <v>78.685407179987223</v>
      </c>
    </row>
    <row r="38" spans="1:16" ht="21.75" customHeight="1" x14ac:dyDescent="0.3">
      <c r="A38" s="647" t="s">
        <v>27</v>
      </c>
      <c r="B38" s="648"/>
      <c r="C38" s="648"/>
      <c r="D38" s="648"/>
      <c r="E38" s="648"/>
      <c r="F38" s="648"/>
      <c r="G38" s="64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0" t="s">
        <v>28</v>
      </c>
      <c r="C39" s="641"/>
      <c r="D39" s="641"/>
      <c r="E39" s="641"/>
      <c r="F39" s="641"/>
      <c r="G39" s="64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3">L42+L43</f>
        <v>24390409</v>
      </c>
      <c r="M41" s="78">
        <f t="shared" ca="1" si="33"/>
        <v>20372529</v>
      </c>
      <c r="N41" s="78">
        <f t="shared" ca="1" si="33"/>
        <v>17961937</v>
      </c>
      <c r="O41" s="77">
        <f t="shared" ref="O41:O43" ca="1" si="34">IF(L41&gt;0,N41*100/L41,0)</f>
        <v>73.643443207532925</v>
      </c>
      <c r="P41" s="77">
        <f t="shared" ref="P41:P43" ca="1" si="35">IF(M41&gt;0,N41*100/M41,0)</f>
        <v>88.167438613046031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24390409</v>
      </c>
      <c r="M43" s="78">
        <f t="shared" ca="1" si="37"/>
        <v>20372529</v>
      </c>
      <c r="N43" s="78">
        <f t="shared" ca="1" si="37"/>
        <v>17961937</v>
      </c>
      <c r="O43" s="77">
        <f t="shared" ca="1" si="34"/>
        <v>73.643443207532925</v>
      </c>
      <c r="P43" s="77">
        <f t="shared" ca="1" si="35"/>
        <v>88.167438613046031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12302220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9891627.9999999981</v>
      </c>
      <c r="O45" s="38">
        <f ca="1">IF(L45&gt;0,N45*100/L45,0)</f>
        <v>60.610094300892747</v>
      </c>
      <c r="P45" s="38">
        <f ca="1">IF(M45&gt;0,N45*100/M45,0)</f>
        <v>80.405227674354691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8070309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8070309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8070309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8">L54+L55</f>
        <v>12748800</v>
      </c>
      <c r="M53" s="121">
        <f t="shared" ca="1" si="38"/>
        <v>10067800.82</v>
      </c>
      <c r="N53" s="121">
        <f t="shared" ca="1" si="38"/>
        <v>8537805.0999999996</v>
      </c>
      <c r="O53" s="120">
        <f t="shared" ref="O53:O55" ca="1" si="39">IF(L53&gt;0,N53*100/L53,0)</f>
        <v>66.969480264809235</v>
      </c>
      <c r="P53" s="120">
        <f t="shared" ref="P53:P55" ca="1" si="40">IF(M53&gt;0,N53*100/M53,0)</f>
        <v>84.803079169379117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12748800</v>
      </c>
      <c r="M55" s="121">
        <f t="shared" ca="1" si="42"/>
        <v>10067800.82</v>
      </c>
      <c r="N55" s="121">
        <f t="shared" ca="1" si="42"/>
        <v>8537805.0999999996</v>
      </c>
      <c r="O55" s="120">
        <f t="shared" ca="1" si="39"/>
        <v>66.969480264809235</v>
      </c>
      <c r="P55" s="120">
        <f t="shared" ca="1" si="40"/>
        <v>84.803079169379117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10067800.82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8537805.0999999996</v>
      </c>
      <c r="O57" s="38">
        <f ca="1">IF(L57&gt;0,N57*100/L57,0)</f>
        <v>66.969480264809235</v>
      </c>
      <c r="P57" s="38">
        <f ca="1">IF(M57&gt;0,N57*100/M57,0)</f>
        <v>84.803079169379117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10880900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9095720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6435204.5499999998</v>
      </c>
      <c r="O66" s="151">
        <f t="shared" ref="O66:O68" ca="1" si="44">IF(L66&gt;0,N66*100/L66,0)</f>
        <v>59.142208365116858</v>
      </c>
      <c r="P66" s="151">
        <f t="shared" ref="P66:P68" ca="1" si="45">IF(M66&gt;0,N66*100/M66,0)</f>
        <v>70.749809250944395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10880900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9095720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6435204.5499999998</v>
      </c>
      <c r="O68" s="156">
        <f t="shared" ca="1" si="44"/>
        <v>59.142208365116858</v>
      </c>
      <c r="P68" s="156">
        <f t="shared" ca="1" si="45"/>
        <v>70.749809250944395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8910720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6250204.5499999998</v>
      </c>
      <c r="O70" s="169">
        <f ca="1">IF(L70&gt;0,N70*100/L70,0)</f>
        <v>58.435517815237617</v>
      </c>
      <c r="P70" s="169">
        <f ca="1">IF(M70&gt;0,N70*100/M70,0)</f>
        <v>70.142531131042162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185000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185000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185000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13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270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61</v>
      </c>
      <c r="K88" s="163">
        <f t="shared" ca="1" si="46"/>
        <v>22.592592592592592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82</v>
      </c>
      <c r="K92" s="143">
        <f t="shared" ref="K92:K93" ca="1" si="47">IF(I92&gt;0,J92*100/I92,0)</f>
        <v>167.34693877551021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2565880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2343705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1785984.85</v>
      </c>
      <c r="O94" s="151">
        <f t="shared" ref="O94:O96" ca="1" si="48">IF(L94&gt;0,N94*100/L94,0)</f>
        <v>69.605158853882486</v>
      </c>
      <c r="P94" s="151">
        <f t="shared" ref="P94:P96" ca="1" si="49">IF(M94&gt;0,N94*100/M94,0)</f>
        <v>76.203483373547442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2565880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2343705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1785984.85</v>
      </c>
      <c r="O96" s="156">
        <f t="shared" ca="1" si="48"/>
        <v>69.605158853882486</v>
      </c>
      <c r="P96" s="156">
        <f t="shared" ca="1" si="49"/>
        <v>76.203483373547442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1143705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585984.85000000009</v>
      </c>
      <c r="O98" s="169">
        <f ca="1">IF(L98&gt;0,N98*100/L98,0)</f>
        <v>42.90163484347088</v>
      </c>
      <c r="P98" s="169">
        <f ca="1">IF(M98&gt;0,N98*100/M98,0)</f>
        <v>51.235663916831705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1200000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1200000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10</v>
      </c>
      <c r="K108" s="224">
        <f t="shared" ref="K108:K111" ca="1" si="50">IF(I108&gt;0,J108*100/I108,0)</f>
        <v>90.909090909090907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82</v>
      </c>
      <c r="K109" s="224">
        <f t="shared" ca="1" si="50"/>
        <v>167.34693877551021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4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59</v>
      </c>
      <c r="K111" s="224">
        <f t="shared" ca="1" si="50"/>
        <v>120.40816326530613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57</v>
      </c>
      <c r="K112" s="224">
        <f ca="1">IF(I112&gt;0,J112*100/I112,0)</f>
        <v>116.32653061224489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13</v>
      </c>
      <c r="K113" s="224">
        <f ca="1">IF(I113&gt;0,J113*100/I113,0)</f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1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494640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494640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260637</v>
      </c>
      <c r="O118" s="151">
        <f t="shared" ref="O118:O120" ca="1" si="51">IF(L118&gt;0,N118*100/L118,0)</f>
        <v>52.692261038330905</v>
      </c>
      <c r="P118" s="151">
        <f t="shared" ref="P118:P120" ca="1" si="52">IF(M118&gt;0,N118*100/M118,0)</f>
        <v>52.692261038330905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494640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494640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260637</v>
      </c>
      <c r="O120" s="156">
        <f t="shared" ca="1" si="51"/>
        <v>52.692261038330905</v>
      </c>
      <c r="P120" s="156">
        <f t="shared" ca="1" si="52"/>
        <v>52.692261038330905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494640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494640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260637</v>
      </c>
      <c r="O122" s="169">
        <f ca="1">IF(L122&gt;0,N122*100/L122,0)</f>
        <v>52.692261038330905</v>
      </c>
      <c r="P122" s="169">
        <f ca="1">IF(M122&gt;0,N122*100/M122,0)</f>
        <v>52.692261038330905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494640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68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6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5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4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120</v>
      </c>
      <c r="K133" s="224">
        <f t="shared" ca="1" si="5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7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4440450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3686520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2917821.4699999997</v>
      </c>
      <c r="O140" s="151">
        <f t="shared" ref="O140:O142" ca="1" si="54">IF(L140&gt;0,N140*100/L140,0)</f>
        <v>65.71003997342612</v>
      </c>
      <c r="P140" s="151">
        <f t="shared" ref="P140:P142" ca="1" si="55">IF(M140&gt;0,N140*100/M140,0)</f>
        <v>79.148396590822784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4440450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3686520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2917821.4699999997</v>
      </c>
      <c r="O142" s="156">
        <f t="shared" ca="1" si="54"/>
        <v>65.71003997342612</v>
      </c>
      <c r="P142" s="156">
        <f t="shared" ca="1" si="55"/>
        <v>79.148396590822784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4440450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3686520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2917821.4699999997</v>
      </c>
      <c r="O144" s="169">
        <f ca="1">IF(L144&gt;0,N144*100/L144,0)</f>
        <v>65.71003997342612</v>
      </c>
      <c r="P144" s="169">
        <f ca="1">IF(M144&gt;0,N144*100/M144,0)</f>
        <v>79.148396590822784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2551650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5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40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19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15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40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895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895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4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59</v>
      </c>
      <c r="K164" s="285">
        <f ca="1">IF(I164&gt;0,J164*100/I164,0)</f>
        <v>89.393939393939391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14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15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11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59</v>
      </c>
      <c r="K173" s="163">
        <f ca="1">IF(I173&gt;0,J173*100/I173,0)</f>
        <v>89.393939393939391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3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6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4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26</v>
      </c>
      <c r="K176" s="285">
        <f ca="1">IF(I176&gt;0,J176*100/I176,0)</f>
        <v>96.296296296296291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10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8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7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6</v>
      </c>
      <c r="K185" s="224">
        <f t="shared" ref="K185:K186" ca="1" si="56">IF(I185&gt;0,J185*100/I185,0)</f>
        <v>22.222222222222221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26</v>
      </c>
      <c r="K186" s="224">
        <f t="shared" ca="1" si="56"/>
        <v>96.296296296296291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4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4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19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15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10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316800</v>
      </c>
      <c r="K199" s="163">
        <f t="shared" ref="K199:K201" ca="1" si="57">IF(I199&gt;0,J199*100/I199,0)</f>
        <v>33.566433566433567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0</v>
      </c>
      <c r="K200" s="163">
        <f t="shared" ca="1" si="57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4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0</v>
      </c>
      <c r="K215" s="224">
        <f t="shared" ref="K215:K216" ca="1" si="58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15</v>
      </c>
      <c r="K216" s="224">
        <f t="shared" ca="1" si="58"/>
        <v>93.75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7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276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377688</v>
      </c>
      <c r="O220" s="151">
        <f t="shared" ref="O220:O222" ca="1" si="59">IF(L220&gt;0,N220*100/L220,0)</f>
        <v>94.294702152094672</v>
      </c>
      <c r="P220" s="151">
        <f t="shared" ref="P220:P222" ca="1" si="60">IF(M220&gt;0,N220*100/M220,0)</f>
        <v>94.294702152094672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377688</v>
      </c>
      <c r="O222" s="156">
        <f t="shared" ca="1" si="59"/>
        <v>94.294702152094672</v>
      </c>
      <c r="P222" s="156">
        <f t="shared" ca="1" si="60"/>
        <v>94.294702152094672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377688</v>
      </c>
      <c r="O224" s="169">
        <f ca="1">IF(L224&gt;0,N224*100/L224,0)</f>
        <v>94.294702152094672</v>
      </c>
      <c r="P224" s="169">
        <f ca="1">IF(M224&gt;0,N224*100/M224,0)</f>
        <v>94.294702152094672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7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5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6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4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2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15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7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6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228</v>
      </c>
      <c r="K249" s="317">
        <f ca="1">IF(I249&gt;0,J249*100/I249,0)</f>
        <v>95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977600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662234.92999999993</v>
      </c>
      <c r="O250" s="151">
        <f t="shared" ref="O250:O252" ca="1" si="61">IF(L250&gt;0,N250*100/L250,0)</f>
        <v>48.518933987837933</v>
      </c>
      <c r="P250" s="151">
        <f t="shared" ref="P250:P252" ca="1" si="62">IF(M250&gt;0,N250*100/M250,0)</f>
        <v>67.740888911620289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977600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662234.92999999993</v>
      </c>
      <c r="O252" s="156">
        <f t="shared" ca="1" si="61"/>
        <v>48.518933987837933</v>
      </c>
      <c r="P252" s="156">
        <f t="shared" ca="1" si="62"/>
        <v>67.740888911620289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977600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662234.92999999993</v>
      </c>
      <c r="O254" s="169">
        <f ca="1">IF(L254&gt;0,N254*100/L254,0)</f>
        <v>48.518933987837933</v>
      </c>
      <c r="P254" s="169">
        <f ca="1">IF(M254&gt;0,N254*100/M254,0)</f>
        <v>67.740888911620289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8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5</v>
      </c>
      <c r="K264" s="163">
        <f t="shared" ref="K264:K267" ca="1" si="63">IF(I264&gt;0,J264*100/I264,0)</f>
        <v>55.555555555555557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228</v>
      </c>
      <c r="K265" s="163">
        <f t="shared" ca="1" si="63"/>
        <v>95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0</v>
      </c>
      <c r="K266" s="163">
        <f t="shared" ca="1" si="63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7</v>
      </c>
      <c r="K267" s="163">
        <f t="shared" ca="1" si="63"/>
        <v>77.777777777777771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6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1527250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1078060.77</v>
      </c>
      <c r="O271" s="151">
        <f t="shared" ref="O271:O273" ca="1" si="64">IF(L271&gt;0,N271*100/L271,0)</f>
        <v>53.464628545923425</v>
      </c>
      <c r="P271" s="151">
        <f t="shared" ref="P271:P273" ca="1" si="65">IF(M271&gt;0,N271*100/M271,0)</f>
        <v>70.588362743493207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1527250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1078060.77</v>
      </c>
      <c r="O273" s="156">
        <f t="shared" ca="1" si="64"/>
        <v>53.464628545923425</v>
      </c>
      <c r="P273" s="156">
        <f t="shared" ca="1" si="65"/>
        <v>70.588362743493207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1527250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1078060.77</v>
      </c>
      <c r="O275" s="169">
        <f ca="1">IF(L275&gt;0,N275*100/L275,0)</f>
        <v>53.464628545923425</v>
      </c>
      <c r="P275" s="169">
        <f ca="1">IF(M275&gt;0,N275*100/M275,0)</f>
        <v>70.588362743493207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14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6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35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147180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52378</v>
      </c>
      <c r="O290" s="151">
        <f t="shared" ref="O290:O292" ca="1" si="66">IF(L290&gt;0,N290*100/L290,0)</f>
        <v>35.587715722244873</v>
      </c>
      <c r="P290" s="151">
        <f t="shared" ref="P290:P292" ca="1" si="67">IF(M290&gt;0,N290*100/M290,0)</f>
        <v>35.587715722244873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147180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52378</v>
      </c>
      <c r="O292" s="156">
        <f t="shared" ca="1" si="66"/>
        <v>35.587715722244873</v>
      </c>
      <c r="P292" s="156">
        <f t="shared" ca="1" si="67"/>
        <v>35.587715722244873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147180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52378</v>
      </c>
      <c r="O294" s="169">
        <f ca="1">IF(L294&gt;0,N294*100/L294,0)</f>
        <v>35.587715722244873</v>
      </c>
      <c r="P294" s="169">
        <f ca="1">IF(M294&gt;0,N294*100/M294,0)</f>
        <v>35.587715722244873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2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2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2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35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3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2</v>
      </c>
      <c r="K309" s="334">
        <f ca="1">IF(I309&gt;0,J309*100/I309,0)</f>
        <v>66.666666666666671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498900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315101.24</v>
      </c>
      <c r="O310" s="151">
        <f t="shared" ref="O310:O312" ca="1" si="68">IF(L310&gt;0,N310*100/L310,0)</f>
        <v>47.369398677089599</v>
      </c>
      <c r="P310" s="151">
        <f t="shared" ref="P310:P312" ca="1" si="69">IF(M310&gt;0,N310*100/M310,0)</f>
        <v>63.159198236119465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498900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315101.24</v>
      </c>
      <c r="O312" s="156">
        <f t="shared" ca="1" si="68"/>
        <v>47.369398677089599</v>
      </c>
      <c r="P312" s="156">
        <f t="shared" ca="1" si="69"/>
        <v>63.159198236119465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498900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315101.24</v>
      </c>
      <c r="O314" s="169">
        <f ca="1">IF(L314&gt;0,N314*100/L314,0)</f>
        <v>47.369398677089599</v>
      </c>
      <c r="P314" s="169">
        <f ca="1">IF(M314&gt;0,N314*100/M314,0)</f>
        <v>63.159198236119465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2</v>
      </c>
      <c r="K324" s="224">
        <f ca="1">IF(I324&gt;0,J324*100/I324,0)</f>
        <v>66.666666666666671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17249</v>
      </c>
      <c r="J328" s="339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7387</v>
      </c>
      <c r="K328" s="317">
        <f ca="1">IF(I328&gt;0,J328*100/I328,0)</f>
        <v>42.825671053394402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28286860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23425680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17085445.789999995</v>
      </c>
      <c r="O329" s="151">
        <f t="shared" ref="O329:O331" ca="1" si="70">IF(L329&gt;0,N329*100/L329,0)</f>
        <v>60.400644645605752</v>
      </c>
      <c r="P329" s="151">
        <f t="shared" ref="P329:P331" ca="1" si="71">IF(M329&gt;0,N329*100/M329,0)</f>
        <v>72.934684457398873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28286860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23425680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17085445.789999995</v>
      </c>
      <c r="O331" s="156">
        <f t="shared" ca="1" si="70"/>
        <v>60.400644645605752</v>
      </c>
      <c r="P331" s="156">
        <f t="shared" ca="1" si="71"/>
        <v>72.934684457398873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27100570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22239390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15899155.790000001</v>
      </c>
      <c r="O333" s="169">
        <f ca="1">IF(L333&gt;0,N333*100/L333,0)</f>
        <v>58.667237589467675</v>
      </c>
      <c r="P333" s="169">
        <f ca="1">IF(M333&gt;0,N333*100/M333,0)</f>
        <v>71.490970705581404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18359070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1186290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1186290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8978</v>
      </c>
      <c r="K339" s="342">
        <f t="shared" ref="K339:K346" ca="1" si="72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126166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75024.999999999971</v>
      </c>
      <c r="K340" s="342">
        <f t="shared" ca="1" si="72"/>
        <v>59.465307610608221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17249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11717</v>
      </c>
      <c r="K341" s="342">
        <f t="shared" ca="1" si="72"/>
        <v>67.928575569598237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127026.05999999997</v>
      </c>
      <c r="K342" s="342">
        <f t="shared" ca="1" si="72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17249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997</v>
      </c>
      <c r="K343" s="342">
        <f t="shared" ca="1" si="72"/>
        <v>5.7800452200127541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10232.14</v>
      </c>
      <c r="K344" s="342">
        <f t="shared" ca="1" si="72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17249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7387</v>
      </c>
      <c r="K345" s="342">
        <f t="shared" ca="1" si="72"/>
        <v>42.825671053394402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79350.01999999999</v>
      </c>
      <c r="K346" s="351">
        <f t="shared" ca="1" si="72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56273880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22581923.11999999</v>
      </c>
      <c r="O347" s="358">
        <f ca="1">+IF(L347&gt;0,N347*100/L347,0)</f>
        <v>40.128605171706646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2122</v>
      </c>
      <c r="K349" s="372">
        <f t="shared" ref="K349:K350" ca="1" si="73">IF(I349&gt;0,J349*100/I349,0)</f>
        <v>40.784162982894486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4591919.7599999979</v>
      </c>
      <c r="O349" s="373">
        <f ca="1">+IF(L349&gt;0,N349*100/L349,0)</f>
        <v>46.027961673434298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1466</v>
      </c>
      <c r="K350" s="372">
        <f t="shared" ca="1" si="73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4591919.7599999979</v>
      </c>
      <c r="O352" s="165">
        <f t="shared" ca="1" si="74"/>
        <v>46.027961673434298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4591919.7599999979</v>
      </c>
      <c r="O354" s="169">
        <f t="shared" ca="1" si="74"/>
        <v>46.027961673434298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1297901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1632088.76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1223370.45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438559.55000000005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18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17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13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1466</v>
      </c>
      <c r="K368" s="163">
        <f t="shared" ca="1" si="75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1307</v>
      </c>
      <c r="K370" s="163">
        <f t="shared" ca="1" si="75"/>
        <v>89.154160982264671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1249</v>
      </c>
      <c r="K372" s="163">
        <f t="shared" ca="1" si="75"/>
        <v>85.19781718963165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2122</v>
      </c>
      <c r="K375" s="163">
        <f t="shared" ref="K375:K377" ca="1" si="76">IF(I375&gt;0,J375*100/I375,0)</f>
        <v>40.784162982894486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850</v>
      </c>
      <c r="K376" s="163">
        <f t="shared" ca="1" si="76"/>
        <v>32.517214996174445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1272</v>
      </c>
      <c r="K377" s="163">
        <f t="shared" ca="1" si="76"/>
        <v>49.130938586326764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2500</v>
      </c>
      <c r="K380" s="372">
        <f t="shared" ref="K380:K381" ca="1" si="77">IF(I380&gt;0,J380*100/I380,0)</f>
        <v>13.888888888888889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4340701.9599999981</v>
      </c>
      <c r="O380" s="373">
        <f ca="1">+IF(L380&gt;0,N380*100/L380,0)</f>
        <v>23.72372754261928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1800</v>
      </c>
      <c r="K381" s="372">
        <f t="shared" ca="1" si="77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4340701.9599999981</v>
      </c>
      <c r="O383" s="165">
        <f t="shared" ca="1" si="78"/>
        <v>23.72372754261928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4340701.9599999981</v>
      </c>
      <c r="O385" s="169">
        <f t="shared" ca="1" si="78"/>
        <v>23.72372754261928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2267980.13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1018092.8300000001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429629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19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18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1800</v>
      </c>
      <c r="K396" s="163">
        <f t="shared" ref="K396:K398" ca="1" si="79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2500</v>
      </c>
      <c r="K397" s="163">
        <f t="shared" ca="1" si="79"/>
        <v>13.888888888888889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277</v>
      </c>
      <c r="K398" s="163">
        <f t="shared" ca="1" si="79"/>
        <v>15.388888888888889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2979</v>
      </c>
      <c r="K401" s="372">
        <f t="shared" ref="K401:K402" ca="1" si="80">IF(I401&gt;0,J401*100/I401,0)</f>
        <v>90.437158469945359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2510319.9500000002</v>
      </c>
      <c r="O401" s="373">
        <f ca="1">+IF(L401&gt;0,N401*100/L401,0)</f>
        <v>67.256626344626198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1088</v>
      </c>
      <c r="K402" s="372">
        <f t="shared" ca="1" si="80"/>
        <v>99.089253187613849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2510319.9500000002</v>
      </c>
      <c r="O404" s="169">
        <f t="shared" ca="1" si="81"/>
        <v>67.256626344626198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2510319.9500000002</v>
      </c>
      <c r="O406" s="169">
        <f t="shared" ca="1" si="81"/>
        <v>67.256626344626198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1820513.74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364950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324856.21000000002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19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19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14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1088</v>
      </c>
      <c r="K416" s="202">
        <f t="shared" ref="K416:K432" ca="1" si="82">IF(I416&gt;0,J416*100/I416,0)</f>
        <v>99.089253187613849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741</v>
      </c>
      <c r="K418" s="202">
        <f t="shared" ca="1" si="82"/>
        <v>91.481481481481481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609</v>
      </c>
      <c r="K421" s="202">
        <f t="shared" ca="1" si="82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1722</v>
      </c>
      <c r="K422" s="202">
        <f t="shared" ca="1" si="82"/>
        <v>94.252873563218387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609</v>
      </c>
      <c r="K423" s="163">
        <f t="shared" ca="1" si="82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609</v>
      </c>
      <c r="K424" s="163">
        <f t="shared" ca="1" si="82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609</v>
      </c>
      <c r="K425" s="163">
        <f t="shared" ca="1" si="82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209</v>
      </c>
      <c r="K426" s="202">
        <f t="shared" ca="1" si="82"/>
        <v>95.433789954337897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516</v>
      </c>
      <c r="K427" s="202">
        <f t="shared" ca="1" si="82"/>
        <v>78.538812785388131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209</v>
      </c>
      <c r="K428" s="163">
        <f t="shared" ca="1" si="82"/>
        <v>95.433789954337897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209</v>
      </c>
      <c r="K429" s="163">
        <f t="shared" ca="1" si="82"/>
        <v>95.433789954337897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351</v>
      </c>
      <c r="K430" s="202">
        <f t="shared" ca="1" si="82"/>
        <v>39.931740614334473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115</v>
      </c>
      <c r="K431" s="163">
        <f t="shared" ca="1" si="82"/>
        <v>42.592592592592595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236</v>
      </c>
      <c r="K432" s="163">
        <f t="shared" ca="1" si="82"/>
        <v>38.752052545155991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551</v>
      </c>
      <c r="K435" s="411">
        <f ca="1">IF(I435&gt;0,J435*100/I435,0)</f>
        <v>100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2432000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1718110.08</v>
      </c>
      <c r="O435" s="412">
        <f t="shared" ref="O435:O439" ca="1" si="83">+IF(L435&gt;0,N435*100/L435,0)</f>
        <v>70.645973684210531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2432000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1718110.08</v>
      </c>
      <c r="O437" s="169">
        <f t="shared" ca="1" si="83"/>
        <v>70.645973684210531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2432000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1718110.08</v>
      </c>
      <c r="O439" s="169">
        <f t="shared" ca="1" si="83"/>
        <v>70.645973684210531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1093610.25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15410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609089.83000000007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19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19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14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551</v>
      </c>
      <c r="K449" s="163">
        <f t="shared" ref="K449:K452" ca="1" si="8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476</v>
      </c>
      <c r="K450" s="163">
        <f t="shared" ca="1" si="84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854968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602378.40749999986</v>
      </c>
      <c r="K455" s="372">
        <f ca="1">IF(I455&gt;0,J455*100/I455,0)</f>
        <v>70.456251871415049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11078866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3407970.11</v>
      </c>
      <c r="O455" s="373">
        <f t="shared" ref="O455:O459" ca="1" si="85">+IF(L455&gt;0,N455*100/L455,0)</f>
        <v>30.761001261320427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11078866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3407970.11</v>
      </c>
      <c r="O457" s="169">
        <f t="shared" ca="1" si="85"/>
        <v>30.761001261320427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11078866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3407970.11</v>
      </c>
      <c r="O459" s="169">
        <f t="shared" ca="1" si="85"/>
        <v>30.761001261320427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865334.94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2542635.17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854968</v>
      </c>
      <c r="J464" s="267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602378.40749999986</v>
      </c>
      <c r="K464" s="268">
        <f t="shared" ref="K464:K515" ca="1" si="86">IF(I464&gt;0,J464*100/I464,0)</f>
        <v>70.456251871415049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854968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857538.8339999998</v>
      </c>
      <c r="K465" s="202">
        <f t="shared" ca="1" si="86"/>
        <v>100.30069359321048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102854</v>
      </c>
      <c r="K466" s="202">
        <f t="shared" ca="1" si="86"/>
        <v>100.00097226138276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694650.39350000001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86479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137890.5025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13851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24997.937999999998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2524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854968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855301.39749999996</v>
      </c>
      <c r="K473" s="202">
        <f t="shared" ca="1" si="86"/>
        <v>100.03899531912306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102853</v>
      </c>
      <c r="K474" s="202">
        <f t="shared" ca="1" si="86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713408.78999999992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88819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116588.35250000001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11498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25304.254999999997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2536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854968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602378.40749999986</v>
      </c>
      <c r="K481" s="202">
        <f t="shared" ca="1" si="86"/>
        <v>70.456251871415049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72163</v>
      </c>
      <c r="K482" s="202">
        <f t="shared" ca="1" si="86"/>
        <v>70.161298163398243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527289.82499999995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64596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51566.462500000001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5559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12902.12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1319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12636.662499999999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1296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265.45750000000004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23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10620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689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98377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36803.077499999999</v>
      </c>
      <c r="K497" s="444">
        <f t="shared" ca="1" si="86"/>
        <v>37.410245789158033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98190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36803.077499999999</v>
      </c>
      <c r="K498" s="202">
        <f t="shared" ca="1" si="86"/>
        <v>37.481492514512681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3969</v>
      </c>
      <c r="K499" s="202">
        <f t="shared" ca="1" si="86"/>
        <v>39.308705556105771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32120.36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3284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23547.98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2457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8380.380000000001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815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192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12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3290.8874999999998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365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2638.0950000000003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306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652.79250000000002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59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1391.83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320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7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4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4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1587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91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1587</v>
      </c>
      <c r="J525" s="284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14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91</v>
      </c>
      <c r="J526" s="284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1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565801</v>
      </c>
      <c r="O533" s="412">
        <f t="shared" ref="O533:O537" ca="1" si="87">+IF(L533&gt;0,N533*100/L533,0)</f>
        <v>80.197445819336366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565801</v>
      </c>
      <c r="O535" s="169">
        <f t="shared" ca="1" si="87"/>
        <v>80.197445819336366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565801</v>
      </c>
      <c r="O537" s="169">
        <f t="shared" ca="1" si="87"/>
        <v>80.197445819336366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348557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30502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186742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15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16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13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5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13180</v>
      </c>
      <c r="K551" s="411">
        <f ca="1">IF(I551&gt;0,J551*100/I551,0)</f>
        <v>52.72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1259938.9100000001</v>
      </c>
      <c r="O551" s="412">
        <f t="shared" ref="O551:O555" ca="1" si="89">+IF(L551&gt;0,N551*100/L551,0)</f>
        <v>79.742968987341783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1259938.9100000001</v>
      </c>
      <c r="O553" s="169">
        <f t="shared" ca="1" si="89"/>
        <v>79.742968987341783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1259938.9100000001</v>
      </c>
      <c r="O555" s="169">
        <f t="shared" ca="1" si="89"/>
        <v>79.742968987341783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215100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1044838.9100000001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13180</v>
      </c>
      <c r="K560" s="224">
        <f t="shared" ref="K560:K561" ca="1" si="90">IF(I560&gt;0,J560*100/I560,0)</f>
        <v>52.72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856</v>
      </c>
      <c r="K561" s="224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117035</v>
      </c>
      <c r="K564" s="372">
        <f ca="1">IF(I564&gt;0,J564*100/I564,0)</f>
        <v>154.99271619653027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1889631.87</v>
      </c>
      <c r="O564" s="373">
        <f t="shared" ref="O564:O568" ca="1" si="91">+IF(L564&gt;0,N564*100/L564,0)</f>
        <v>59.443321861787801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1889631.87</v>
      </c>
      <c r="O566" s="169">
        <f t="shared" ca="1" si="91"/>
        <v>59.443321861787801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1889631.87</v>
      </c>
      <c r="O568" s="169">
        <f t="shared" ca="1" si="91"/>
        <v>59.443321861787801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1168741.81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720890.05999999994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117035</v>
      </c>
      <c r="K573" s="202">
        <f ca="1">IF(I573&gt;0,J573*100/I573,0)</f>
        <v>154.99271619653027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0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105</v>
      </c>
      <c r="K575" s="163">
        <f t="shared" ref="K575:K579" ca="1" si="9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7703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108774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15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543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3582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293</v>
      </c>
      <c r="K580" s="372">
        <f ca="1">IF(I580&gt;0,J580*100/I580,0)</f>
        <v>8.1797878280290348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5069674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2246920.48</v>
      </c>
      <c r="O580" s="373">
        <f t="shared" ref="O580:O584" ca="1" si="93">+IF(L580&gt;0,N580*100/L580,0)</f>
        <v>44.320808004617263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5069674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2246920.48</v>
      </c>
      <c r="O582" s="169">
        <f t="shared" ca="1" si="93"/>
        <v>44.320808004617263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5069674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2246920.48</v>
      </c>
      <c r="O584" s="169">
        <f t="shared" ca="1" si="93"/>
        <v>44.320808004617263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803676.27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1443244.21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3582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2440</v>
      </c>
      <c r="K589" s="163">
        <f t="shared" ref="K589:K596" ca="1" si="94">IF(I589&gt;0,J589*100/I589,0)</f>
        <v>68.11836962590732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1489.4900000000002</v>
      </c>
      <c r="K590" s="479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3582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1458</v>
      </c>
      <c r="K591" s="163">
        <f t="shared" ca="1" si="94"/>
        <v>40.7035175879397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864.92999999999984</v>
      </c>
      <c r="K592" s="342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3582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359</v>
      </c>
      <c r="K593" s="163">
        <f t="shared" ca="1" si="94"/>
        <v>10.022333891680626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210.88</v>
      </c>
      <c r="K594" s="342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3582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293</v>
      </c>
      <c r="K595" s="163">
        <f t="shared" ca="1" si="94"/>
        <v>8.1797878280290348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1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156.47000000000003</v>
      </c>
      <c r="K596" s="486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7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0</v>
      </c>
      <c r="K597" s="411">
        <f ca="1">IF(I597&gt;0,J597*100/I597,0)</f>
        <v>0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50609</v>
      </c>
      <c r="O597" s="412">
        <f t="shared" ref="O597:O601" ca="1" si="95">+IF(L597&gt;0,N597*100/L597,0)</f>
        <v>22.669204927211645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50609</v>
      </c>
      <c r="O599" s="169">
        <f t="shared" ca="1" si="95"/>
        <v>22.669204927211645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50609</v>
      </c>
      <c r="O601" s="169">
        <f t="shared" ca="1" si="95"/>
        <v>22.669204927211645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50609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0</v>
      </c>
      <c r="K611" s="163">
        <f t="shared" ref="K611:K619" ca="1" si="96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1446.22</v>
      </c>
      <c r="K612" s="163">
        <f t="shared" ca="1" si="96"/>
        <v>63.710132158590305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1278.22</v>
      </c>
      <c r="K613" s="163">
        <f t="shared" ca="1" si="96"/>
        <v>56.309251101321586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1369.22</v>
      </c>
      <c r="K614" s="163">
        <f t="shared" ca="1" si="96"/>
        <v>60.31806167400881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861.22</v>
      </c>
      <c r="K615" s="163">
        <f t="shared" ca="1" si="96"/>
        <v>37.939207048458151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165</v>
      </c>
      <c r="K616" s="163">
        <f t="shared" ca="1" si="96"/>
        <v>7.2687224669603525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0</v>
      </c>
      <c r="K617" s="163">
        <f t="shared" ca="1" si="96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0</v>
      </c>
      <c r="K619" s="163">
        <f t="shared" ca="1" si="96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1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76799750.199999988</v>
      </c>
      <c r="K628" s="342">
        <f t="shared" ref="K628:K635" ca="1" si="98">IF(I628&gt;0,J628*100/I628,0)</f>
        <v>60.815274247732717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1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4708</v>
      </c>
      <c r="K629" s="342">
        <f t="shared" ca="1" si="98"/>
        <v>55.186965185792992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1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24345108.16</v>
      </c>
      <c r="K630" s="342">
        <f t="shared" ca="1" si="98"/>
        <v>13.901900437902119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1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3486</v>
      </c>
      <c r="K631" s="342">
        <f t="shared" ca="1" si="98"/>
        <v>43.164933135215456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1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4343272.8899999997</v>
      </c>
      <c r="K632" s="342">
        <f t="shared" ca="1" si="98"/>
        <v>40.403944907176253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1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706</v>
      </c>
      <c r="K633" s="342">
        <f t="shared" ca="1" si="98"/>
        <v>74.708994708994709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128130000</v>
      </c>
      <c r="J634" s="341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76684000</v>
      </c>
      <c r="K634" s="342">
        <f t="shared" ca="1" si="98"/>
        <v>59.84859127448685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3408</v>
      </c>
      <c r="J635" s="504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1968</v>
      </c>
      <c r="K635" s="486">
        <f t="shared" ca="1" si="98"/>
        <v>57.74647887323944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07"/>
      <c r="J636" s="507"/>
      <c r="K636" s="508"/>
      <c r="L636" s="509">
        <f ca="1">SUM(L637,L638)</f>
        <v>136890</v>
      </c>
      <c r="M636" s="510"/>
      <c r="N636" s="509">
        <f ca="1">SUM(N637:N638)</f>
        <v>1235</v>
      </c>
      <c r="O636" s="509">
        <f t="shared" ref="O636:O640" ca="1" si="99">+IF(L636&gt;0,N636*100/L636,0)</f>
        <v>0.90218423551756888</v>
      </c>
      <c r="P636" s="509"/>
    </row>
    <row r="637" spans="1:16" ht="21.75" customHeight="1" x14ac:dyDescent="0.3">
      <c r="A637" s="511"/>
      <c r="B637" s="512"/>
      <c r="C637" s="513" t="s">
        <v>16</v>
      </c>
      <c r="D637" s="671" t="s">
        <v>77</v>
      </c>
      <c r="E637" s="641"/>
      <c r="F637" s="641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99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136890</v>
      </c>
      <c r="M638" s="520"/>
      <c r="N638" s="521">
        <f ca="1">SUM(N639:N640)</f>
        <v>1235</v>
      </c>
      <c r="O638" s="521">
        <f t="shared" ca="1" si="99"/>
        <v>0.90218423551756888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99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136890</v>
      </c>
      <c r="M640" s="520"/>
      <c r="N640" s="521">
        <f ca="1">SUM(N641:N644)</f>
        <v>1235</v>
      </c>
      <c r="O640" s="521">
        <f t="shared" ca="1" si="99"/>
        <v>0.90218423551756888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3"/>
      <c r="M641" s="520"/>
      <c r="N641" s="521">
        <v>0</v>
      </c>
      <c r="O641" s="523"/>
      <c r="P641" s="523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3"/>
      <c r="M642" s="520"/>
      <c r="N642" s="521">
        <v>0</v>
      </c>
      <c r="O642" s="523"/>
      <c r="P642" s="523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3"/>
      <c r="M643" s="520"/>
      <c r="N643" s="521">
        <v>0</v>
      </c>
      <c r="O643" s="523"/>
      <c r="P643" s="523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4"/>
      <c r="J644" s="522"/>
      <c r="K644" s="523"/>
      <c r="L644" s="523"/>
      <c r="M644" s="520"/>
      <c r="N644" s="521">
        <f ca="1">N648+N649+N650+N651+N661+N665+N668+N671</f>
        <v>1235</v>
      </c>
      <c r="O644" s="523"/>
      <c r="P644" s="523"/>
    </row>
    <row r="645" spans="1:16" ht="21.75" customHeight="1" x14ac:dyDescent="0.3">
      <c r="A645" s="525"/>
      <c r="B645" s="526"/>
      <c r="C645" s="513" t="s">
        <v>16</v>
      </c>
      <c r="D645" s="672" t="s">
        <v>242</v>
      </c>
      <c r="E645" s="641"/>
      <c r="F645" s="641"/>
      <c r="G645" s="667"/>
      <c r="H645" s="517"/>
      <c r="I645" s="517"/>
      <c r="J645" s="517"/>
      <c r="K645" s="518"/>
      <c r="L645" s="520"/>
      <c r="M645" s="520"/>
      <c r="N645" s="520"/>
      <c r="O645" s="518"/>
      <c r="P645" s="518"/>
    </row>
    <row r="646" spans="1:16" ht="21.75" customHeight="1" x14ac:dyDescent="0.3">
      <c r="A646" s="525"/>
      <c r="B646" s="526"/>
      <c r="C646" s="526"/>
      <c r="D646" s="527">
        <v>1</v>
      </c>
      <c r="E646" s="673" t="s">
        <v>44</v>
      </c>
      <c r="F646" s="641"/>
      <c r="G646" s="667"/>
      <c r="H646" s="522"/>
      <c r="I646" s="528"/>
      <c r="J646" s="529">
        <f ca="1">กาฬสินธุ์!J646+ขอนแก่น!J646+ชัยภูมิ!J646+นครพนม!J646+นครราชสีมา!J646+บึงกาฬ!J646+บุรีรัมย์!J646+มหาสารคาม!J646+มุกดาหาร!J646+ยโสธร!J646+ร้อยเอ็ด!J646+เลย!J646+ศรีสะเกษ!J646+สกลนคร!J646+สุรินทร์!J646+หนองคาย!J646+หนองบัวลำภู!J646+อำนาจเจริญ!J646+อุดรธานี!J646+อุบลราชธานี!J646</f>
        <v>0</v>
      </c>
      <c r="K646" s="518"/>
      <c r="L646" s="520"/>
      <c r="M646" s="520"/>
      <c r="N646" s="530"/>
      <c r="O646" s="518"/>
      <c r="P646" s="518"/>
    </row>
    <row r="647" spans="1:16" ht="21.75" customHeight="1" x14ac:dyDescent="0.3">
      <c r="A647" s="525"/>
      <c r="B647" s="526"/>
      <c r="C647" s="526"/>
      <c r="D647" s="531">
        <v>2</v>
      </c>
      <c r="E647" s="674" t="s">
        <v>243</v>
      </c>
      <c r="F647" s="641"/>
      <c r="G647" s="667"/>
      <c r="H647" s="522"/>
      <c r="I647" s="528"/>
      <c r="J647" s="529">
        <f ca="1">กาฬสินธุ์!J647+ขอนแก่น!J647+ชัยภูมิ!J647+นครพนม!J647+นครราชสีมา!J647+บึงกาฬ!J647+บุรีรัมย์!J647+มหาสารคาม!J647+มุกดาหาร!J647+ยโสธร!J647+ร้อยเอ็ด!J647+เลย!J647+ศรีสะเกษ!J647+สกลนคร!J647+สุรินทร์!J647+หนองคาย!J647+หนองบัวลำภู!J647+อำนาจเจริญ!J647+อุดรธานี!J647+อุบลราชธานี!J647</f>
        <v>1</v>
      </c>
      <c r="K647" s="518"/>
      <c r="L647" s="520"/>
      <c r="M647" s="520"/>
      <c r="N647" s="520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666" t="s">
        <v>244</v>
      </c>
      <c r="G648" s="667"/>
      <c r="H648" s="515" t="s">
        <v>122</v>
      </c>
      <c r="I648" s="532">
        <f ca="1">กาฬสินธุ์!I648+ขอนแก่น!I648+ชัยภูมิ!I648+นครพนม!I648+นครราชสีมา!I648+บึงกาฬ!I648+บุรีรัมย์!I648+มหาสารคาม!I648+มุกดาหาร!I648+ยโสธร!I648+ร้อยเอ็ด!I648+เลย!I648+ศรีสะเกษ!I648+สกลนคร!I648+สุรินทร์!I648+หนองคาย!I648+หนองบัวลำภู!I648+อำนาจเจริญ!I648+อุดรธานี!I648+อุบลราชธานี!I648</f>
        <v>728</v>
      </c>
      <c r="J648" s="533">
        <f ca="1">กาฬสินธุ์!J648+ขอนแก่น!J648+ชัยภูมิ!J648+นครพนม!J648+นครราชสีมา!J648+บึงกาฬ!J648+บุรีรัมย์!J648+มหาสารคาม!J648+มุกดาหาร!J648+ยโสธร!J648+ร้อยเอ็ด!J648+เลย!J648+ศรีสะเกษ!J648+สกลนคร!J648+สุรินทร์!J648+หนองคาย!J648+หนองบัวลำภู!J648+อำนาจเจริญ!J648+อุดรธานี!J648+อุบลราชธานี!J648</f>
        <v>0</v>
      </c>
      <c r="K648" s="534">
        <f t="shared" ref="K648:K651" ca="1" si="100">IF(I648&gt;0,J648*100/I648,0)</f>
        <v>0</v>
      </c>
      <c r="L648" s="521">
        <f ca="1">กาฬสินธุ์!L648+ขอนแก่น!L648+ชัยภูมิ!L648+นครพนม!L648+นครราชสีมา!L648+บึงกาฬ!L648+บุรีรัมย์!L648+มหาสารคาม!L648+มุกดาหาร!L648+ยโสธร!L648+ร้อยเอ็ด!L648+เลย!L648+ศรีสะเกษ!L648+สกลนคร!L648+สุรินทร์!L648+หนองคาย!L648+หนองบัวลำภู!L648+อำนาจเจริญ!L648+อุดรธานี!L648+อุบลราชธานี!L648</f>
        <v>58240</v>
      </c>
      <c r="M648" s="520"/>
      <c r="N648" s="535">
        <f ca="1">กาฬสินธุ์!N648+ขอนแก่น!N648+ชัยภูมิ!N648+นครพนม!N648+นครราชสีมา!N648+บึงกาฬ!N648+บุรีรัมย์!N648+มหาสารคาม!N648+มุกดาหาร!N648+ยโสธร!N648+ร้อยเอ็ด!N648+เลย!N648+ศรีสะเกษ!N648+สกลนคร!N648+สุรินทร์!N648+หนองคาย!N648+หนองบัวลำภู!N648+อำนาจเจริญ!N648+อุดรธานี!N648+อุบลราชธานี!N648</f>
        <v>0</v>
      </c>
      <c r="O648" s="534">
        <f t="shared" ref="O648:O651" ca="1" si="101">IF(L648&gt;0,N648*100/L648,0)</f>
        <v>0</v>
      </c>
      <c r="P648" s="534"/>
    </row>
    <row r="649" spans="1:16" ht="21.75" customHeight="1" x14ac:dyDescent="0.3">
      <c r="A649" s="511"/>
      <c r="B649" s="512"/>
      <c r="C649" s="512"/>
      <c r="D649" s="512"/>
      <c r="E649" s="512"/>
      <c r="F649" s="666" t="s">
        <v>245</v>
      </c>
      <c r="G649" s="667"/>
      <c r="H649" s="515" t="s">
        <v>37</v>
      </c>
      <c r="I649" s="532">
        <f ca="1">กาฬสินธุ์!I649+ขอนแก่น!I649+ชัยภูมิ!I649+นครพนม!I649+นครราชสีมา!I649+บึงกาฬ!I649+บุรีรัมย์!I649+มหาสารคาม!I649+มุกดาหาร!I649+ยโสธร!I649+ร้อยเอ็ด!I649+เลย!I649+ศรีสะเกษ!I649+สกลนคร!I649+สุรินทร์!I649+หนองคาย!I649+หนองบัวลำภู!I649+อำนาจเจริญ!I649+อุดรธานี!I649+อุบลราชธานี!I649</f>
        <v>108</v>
      </c>
      <c r="J649" s="533">
        <f ca="1">กาฬสินธุ์!J649+ขอนแก่น!J649+ชัยภูมิ!J649+นครพนม!J649+นครราชสีมา!J649+บึงกาฬ!J649+บุรีรัมย์!J649+มหาสารคาม!J649+มุกดาหาร!J649+ยโสธร!J649+ร้อยเอ็ด!J649+เลย!J649+ศรีสะเกษ!J649+สกลนคร!J649+สุรินทร์!J649+หนองคาย!J649+หนองบัวลำภู!J649+อำนาจเจริญ!J649+อุดรธานี!J649+อุบลราชธานี!J649</f>
        <v>3</v>
      </c>
      <c r="K649" s="534">
        <f t="shared" ca="1" si="100"/>
        <v>2.7777777777777777</v>
      </c>
      <c r="L649" s="521">
        <f ca="1">กาฬสินธุ์!L649+ขอนแก่น!L649+ชัยภูมิ!L649+นครพนม!L649+นครราชสีมา!L649+บึงกาฬ!L649+บุรีรัมย์!L649+มหาสารคาม!L649+มุกดาหาร!L649+ยโสธร!L649+ร้อยเอ็ด!L649+เลย!L649+ศรีสะเกษ!L649+สกลนคร!L649+สุรินทร์!L649+หนองคาย!L649+หนองบัวลำภู!L649+อำนาจเจริญ!L649+อุดรธานี!L649+อุบลราชธานี!L649</f>
        <v>12960</v>
      </c>
      <c r="M649" s="520"/>
      <c r="N649" s="535">
        <f ca="1">กาฬสินธุ์!N649+ขอนแก่น!N649+ชัยภูมิ!N649+นครพนม!N649+นครราชสีมา!N649+บึงกาฬ!N649+บุรีรัมย์!N649+มหาสารคาม!N649+มุกดาหาร!N649+ยโสธร!N649+ร้อยเอ็ด!N649+เลย!N649+ศรีสะเกษ!N649+สกลนคร!N649+สุรินทร์!N649+หนองคาย!N649+หนองบัวลำภู!N649+อำนาจเจริญ!N649+อุดรธานี!N649+อุบลราชธานี!N649</f>
        <v>0</v>
      </c>
      <c r="O649" s="534">
        <f t="shared" ca="1" si="101"/>
        <v>0</v>
      </c>
      <c r="P649" s="534"/>
    </row>
    <row r="650" spans="1:16" ht="21.75" customHeight="1" x14ac:dyDescent="0.3">
      <c r="A650" s="511"/>
      <c r="B650" s="512"/>
      <c r="C650" s="512"/>
      <c r="D650" s="512"/>
      <c r="E650" s="512"/>
      <c r="F650" s="666" t="s">
        <v>246</v>
      </c>
      <c r="G650" s="667"/>
      <c r="H650" s="515" t="s">
        <v>122</v>
      </c>
      <c r="I650" s="532">
        <f ca="1">กาฬสินธุ์!I650+ขอนแก่น!I650+ชัยภูมิ!I650+นครพนม!I650+นครราชสีมา!I650+บึงกาฬ!I650+บุรีรัมย์!I650+มหาสารคาม!I650+มุกดาหาร!I650+ยโสธร!I650+ร้อยเอ็ด!I650+เลย!I650+ศรีสะเกษ!I650+สกลนคร!I650+สุรินทร์!I650+หนองคาย!I650+หนองบัวลำภู!I650+อำนาจเจริญ!I650+อุดรธานี!I650+อุบลราชธานี!I650</f>
        <v>24</v>
      </c>
      <c r="J650" s="533">
        <f ca="1">กาฬสินธุ์!J650+ขอนแก่น!J650+ชัยภูมิ!J650+นครพนม!J650+นครราชสีมา!J650+บึงกาฬ!J650+บุรีรัมย์!J650+มหาสารคาม!J650+มุกดาหาร!J650+ยโสธร!J650+ร้อยเอ็ด!J650+เลย!J650+ศรีสะเกษ!J650+สกลนคร!J650+สุรินทร์!J650+หนองคาย!J650+หนองบัวลำภู!J650+อำนาจเจริญ!J650+อุดรธานี!J650+อุบลราชธานี!J650</f>
        <v>0</v>
      </c>
      <c r="K650" s="534">
        <f t="shared" ca="1" si="100"/>
        <v>0</v>
      </c>
      <c r="L650" s="521">
        <f ca="1">กาฬสินธุ์!L650+ขอนแก่น!L650+ชัยภูมิ!L650+นครพนม!L650+นครราชสีมา!L650+บึงกาฬ!L650+บุรีรัมย์!L650+มหาสารคาม!L650+มุกดาหาร!L650+ยโสธร!L650+ร้อยเอ็ด!L650+เลย!L650+ศรีสะเกษ!L650+สกลนคร!L650+สุรินทร์!L650+หนองคาย!L650+หนองบัวลำภู!L650+อำนาจเจริญ!L650+อุดรธานี!L650+อุบลราชธานี!L650</f>
        <v>120</v>
      </c>
      <c r="M650" s="520"/>
      <c r="N650" s="535">
        <f ca="1">กาฬสินธุ์!N650+ขอนแก่น!N650+ชัยภูมิ!N650+นครพนม!N650+นครราชสีมา!N650+บึงกาฬ!N650+บุรีรัมย์!N650+มหาสารคาม!N650+มุกดาหาร!N650+ยโสธร!N650+ร้อยเอ็ด!N650+เลย!N650+ศรีสะเกษ!N650+สกลนคร!N650+สุรินทร์!N650+หนองคาย!N650+หนองบัวลำภู!N650+อำนาจเจริญ!N650+อุดรธานี!N650+อุบลราชธานี!N650</f>
        <v>1120</v>
      </c>
      <c r="O650" s="534">
        <f t="shared" ca="1" si="101"/>
        <v>933.33333333333337</v>
      </c>
      <c r="P650" s="534"/>
    </row>
    <row r="651" spans="1:16" ht="21.75" customHeight="1" x14ac:dyDescent="0.3">
      <c r="A651" s="511"/>
      <c r="B651" s="512"/>
      <c r="C651" s="512"/>
      <c r="D651" s="512"/>
      <c r="E651" s="512"/>
      <c r="F651" s="666" t="s">
        <v>247</v>
      </c>
      <c r="G651" s="667"/>
      <c r="H651" s="515" t="s">
        <v>122</v>
      </c>
      <c r="I651" s="532">
        <f ca="1">กาฬสินธุ์!I651+ขอนแก่น!I651+ชัยภูมิ!I651+นครพนม!I651+นครราชสีมา!I651+บึงกาฬ!I651+บุรีรัมย์!I651+มหาสารคาม!I651+มุกดาหาร!I651+ยโสธร!I651+ร้อยเอ็ด!I651+เลย!I651+ศรีสะเกษ!I651+สกลนคร!I651+สุรินทร์!I651+หนองคาย!I651+หนองบัวลำภู!I651+อำนาจเจริญ!I651+อุดรธานี!I651+อุบลราชธานี!I651</f>
        <v>570</v>
      </c>
      <c r="J651" s="533">
        <f ca="1">J657+J660</f>
        <v>56</v>
      </c>
      <c r="K651" s="534">
        <f t="shared" ca="1" si="100"/>
        <v>9.8245614035087723</v>
      </c>
      <c r="L651" s="521">
        <f ca="1">กาฬสินธุ์!L651+ขอนแก่น!L651+ชัยภูมิ!L651+นครพนม!L651+นครราชสีมา!L651+บึงกาฬ!L651+บุรีรัมย์!L651+มหาสารคาม!L651+มุกดาหาร!L651+ยโสธร!L651+ร้อยเอ็ด!L651+เลย!L651+ศรีสะเกษ!L651+สกลนคร!L651+สุรินทร์!L651+หนองคาย!L651+หนองบัวลำภู!L651+อำนาจเจริญ!L651+อุดรธานี!L651+อุบลราชธานี!L651</f>
        <v>14250</v>
      </c>
      <c r="M651" s="520"/>
      <c r="N651" s="535">
        <f ca="1">กาฬสินธุ์!N651+ขอนแก่น!N651+ชัยภูมิ!N651+นครพนม!N651+นครราชสีมา!N651+บึงกาฬ!N651+บุรีรัมย์!N651+มหาสารคาม!N651+มุกดาหาร!N651+ยโสธร!N651+ร้อยเอ็ด!N651+เลย!N651+ศรีสะเกษ!N651+สกลนคร!N651+สุรินทร์!N651+หนองคาย!N651+หนองบัวลำภู!N651+อำนาจเจริญ!N651+อุดรธานี!N651+อุบลราชธานี!N651</f>
        <v>115</v>
      </c>
      <c r="O651" s="534">
        <f t="shared" ca="1" si="101"/>
        <v>0.80701754385964908</v>
      </c>
      <c r="P651" s="534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6"/>
      <c r="J652" s="529">
        <f ca="1">กาฬสินธุ์!J652+ขอนแก่น!J652+ชัยภูมิ!J652+นครพนม!J652+นครราชสีมา!J652+บึงกาฬ!J652+บุรีรัมย์!J652+มหาสารคาม!J652+มุกดาหาร!J652+ยโสธร!J652+ร้อยเอ็ด!J652+เลย!J652+ศรีสะเกษ!J652+สกลนคร!J652+สุรินทร์!J652+หนองคาย!J652+หนองบัวลำภู!J652+อำนาจเจริญ!J652+อุดรธานี!J652+อุบลราชธานี!J652</f>
        <v>3</v>
      </c>
      <c r="K652" s="534"/>
      <c r="L652" s="520"/>
      <c r="M652" s="520"/>
      <c r="N652" s="520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22"/>
      <c r="H653" s="515" t="s">
        <v>122</v>
      </c>
      <c r="I653" s="536"/>
      <c r="J653" s="529">
        <f ca="1">กาฬสินธุ์!J653+ขอนแก่น!J653+ชัยภูมิ!J653+นครพนม!J653+นครราชสีมา!J653+บึงกาฬ!J653+บุรีรัมย์!J653+มหาสารคาม!J653+มุกดาหาร!J653+ยโสธร!J653+ร้อยเอ็ด!J653+เลย!J653+ศรีสะเกษ!J653+สกลนคร!J653+สุรินทร์!J653+หนองคาย!J653+หนองบัวลำภู!J653+อำนาจเจริญ!J653+อุดรธานี!J653+อุบลราชธานี!J653</f>
        <v>56</v>
      </c>
      <c r="K653" s="534"/>
      <c r="L653" s="520"/>
      <c r="M653" s="520"/>
      <c r="N653" s="520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6"/>
      <c r="J654" s="537"/>
      <c r="K654" s="534"/>
      <c r="L654" s="520"/>
      <c r="M654" s="520"/>
      <c r="N654" s="520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6"/>
      <c r="J655" s="529">
        <f ca="1">กาฬสินธุ์!J655+ขอนแก่น!J655+ชัยภูมิ!J655+นครพนม!J655+นครราชสีมา!J655+บึงกาฬ!J655+บุรีรัมย์!J655+มหาสารคาม!J655+มุกดาหาร!J655+ยโสธร!J655+ร้อยเอ็ด!J655+เลย!J655+ศรีสะเกษ!J655+สกลนคร!J655+สุรินทร์!J655+หนองคาย!J655+หนองบัวลำภู!J655+อำนาจเจริญ!J655+อุดรธานี!J655+อุบลราชธานี!J655</f>
        <v>0</v>
      </c>
      <c r="K655" s="534"/>
      <c r="L655" s="520"/>
      <c r="M655" s="520"/>
      <c r="N655" s="520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22"/>
      <c r="H656" s="515" t="s">
        <v>36</v>
      </c>
      <c r="I656" s="536"/>
      <c r="J656" s="529">
        <f ca="1">กาฬสินธุ์!J656+ขอนแก่น!J656+ชัยภูมิ!J656+นครพนม!J656+นครราชสีมา!J656+บึงกาฬ!J656+บุรีรัมย์!J656+มหาสารคาม!J656+มุกดาหาร!J656+ยโสธร!J656+ร้อยเอ็ด!J656+เลย!J656+ศรีสะเกษ!J656+สกลนคร!J656+สุรินทร์!J656+หนองคาย!J656+หนองบัวลำภู!J656+อำนาจเจริญ!J656+อุดรธานี!J656+อุบลราชธานี!J656</f>
        <v>10</v>
      </c>
      <c r="K656" s="534"/>
      <c r="L656" s="520"/>
      <c r="M656" s="520"/>
      <c r="N656" s="520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22"/>
      <c r="H657" s="515" t="s">
        <v>122</v>
      </c>
      <c r="I657" s="536"/>
      <c r="J657" s="529">
        <f ca="1">กาฬสินธุ์!J657+ขอนแก่น!J657+ชัยภูมิ!J657+นครพนม!J657+นครราชสีมา!J657+บึงกาฬ!J657+บุรีรัมย์!J657+มหาสารคาม!J657+มุกดาหาร!J657+ยโสธร!J657+ร้อยเอ็ด!J657+เลย!J657+ศรีสะเกษ!J657+สกลนคร!J657+สุรินทร์!J657+หนองคาย!J657+หนองบัวลำภู!J657+อำนาจเจริญ!J657+อุดรธานี!J657+อุบลราชธานี!J657</f>
        <v>56</v>
      </c>
      <c r="K657" s="534"/>
      <c r="L657" s="520"/>
      <c r="M657" s="520"/>
      <c r="N657" s="520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6"/>
      <c r="J658" s="529">
        <f ca="1">กาฬสินธุ์!J658+ขอนแก่น!J658+ชัยภูมิ!J658+นครพนม!J658+นครราชสีมา!J658+บึงกาฬ!J658+บุรีรัมย์!J658+มหาสารคาม!J658+มุกดาหาร!J658+ยโสธร!J658+ร้อยเอ็ด!J658+เลย!J658+ศรีสะเกษ!J658+สกลนคร!J658+สุรินทร์!J658+หนองคาย!J658+หนองบัวลำภู!J658+อำนาจเจริญ!J658+อุดรธานี!J658+อุบลราชธานี!J658</f>
        <v>0</v>
      </c>
      <c r="K658" s="534"/>
      <c r="L658" s="520"/>
      <c r="M658" s="520"/>
      <c r="N658" s="520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22"/>
      <c r="H659" s="515" t="s">
        <v>36</v>
      </c>
      <c r="I659" s="536"/>
      <c r="J659" s="529">
        <f ca="1">กาฬสินธุ์!J659+ขอนแก่น!J659+ชัยภูมิ!J659+นครพนม!J659+นครราชสีมา!J659+บึงกาฬ!J659+บุรีรัมย์!J659+มหาสารคาม!J659+มุกดาหาร!J659+ยโสธร!J659+ร้อยเอ็ด!J659+เลย!J659+ศรีสะเกษ!J659+สกลนคร!J659+สุรินทร์!J659+หนองคาย!J659+หนองบัวลำภู!J659+อำนาจเจริญ!J659+อุดรธานี!J659+อุบลราชธานี!J659</f>
        <v>0</v>
      </c>
      <c r="K659" s="534"/>
      <c r="L659" s="520"/>
      <c r="M659" s="520"/>
      <c r="N659" s="520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22"/>
      <c r="H660" s="515" t="s">
        <v>122</v>
      </c>
      <c r="I660" s="536"/>
      <c r="J660" s="529">
        <f ca="1">กาฬสินธุ์!J660+ขอนแก่น!J660+ชัยภูมิ!J660+นครพนม!J660+นครราชสีมา!J660+บึงกาฬ!J660+บุรีรัมย์!J660+มหาสารคาม!J660+มุกดาหาร!J660+ยโสธร!J660+ร้อยเอ็ด!J660+เลย!J660+ศรีสะเกษ!J660+สกลนคร!J660+สุรินทร์!J660+หนองคาย!J660+หนองบัวลำภู!J660+อำนาจเจริญ!J660+อุดรธานี!J660+อุบลราชธานี!J660</f>
        <v>0</v>
      </c>
      <c r="K660" s="534"/>
      <c r="L660" s="520"/>
      <c r="M660" s="520"/>
      <c r="N660" s="520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666" t="s">
        <v>252</v>
      </c>
      <c r="G661" s="667"/>
      <c r="H661" s="515" t="s">
        <v>37</v>
      </c>
      <c r="I661" s="536"/>
      <c r="J661" s="533">
        <f ca="1">กาฬสินธุ์!J661+ขอนแก่น!J661+ชัยภูมิ!J661+นครพนม!J661+นครราชสีมา!J661+บึงกาฬ!J661+บุรีรัมย์!J661+มหาสารคาม!J661+มุกดาหาร!J661+ยโสธร!J661+ร้อยเอ็ด!J661+เลย!J661+ศรีสะเกษ!J661+สกลนคร!J661+สุรินทร์!J661+หนองคาย!J661+หนองบัวลำภู!J661+อำนาจเจริญ!J661+อุดรธานี!J661+อุบลราชธานี!J661</f>
        <v>0</v>
      </c>
      <c r="K661" s="534"/>
      <c r="L661" s="521">
        <f ca="1">กาฬสินธุ์!L661+ขอนแก่น!L661+ชัยภูมิ!L661+นครพนม!L661+นครราชสีมา!L661+บึงกาฬ!L661+บุรีรัมย์!L661+มหาสารคาม!L661+มุกดาหาร!L661+ยโสธร!L661+ร้อยเอ็ด!L661+เลย!L661+ศรีสะเกษ!L661+สกลนคร!L661+สุรินทร์!L661+หนองคาย!L661+หนองบัวลำภู!L661+อำนาจเจริญ!L661+อุดรธานี!L661+อุบลราชธานี!L661</f>
        <v>3640</v>
      </c>
      <c r="M661" s="520"/>
      <c r="N661" s="535">
        <f ca="1">กาฬสินธุ์!N661+ขอนแก่น!N661+ชัยภูมิ!N661+นครพนม!N661+นครราชสีมา!N661+บึงกาฬ!N661+บุรีรัมย์!N661+มหาสารคาม!N661+มุกดาหาร!N661+ยโสธร!N661+ร้อยเอ็ด!N661+เลย!N661+ศรีสะเกษ!N661+สกลนคร!N661+สุรินทร์!N661+หนองคาย!N661+หนองบัวลำภู!N661+อำนาจเจริญ!N661+อุดรธานี!N661+อุบลราชธานี!N661</f>
        <v>0</v>
      </c>
      <c r="O661" s="534">
        <f ca="1">IF(L661&gt;0,N661*100/L661,0)</f>
        <v>0</v>
      </c>
      <c r="P661" s="534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22"/>
      <c r="H662" s="515" t="s">
        <v>36</v>
      </c>
      <c r="I662" s="536"/>
      <c r="J662" s="533">
        <f ca="1">กาฬสินธุ์!J662+ขอนแก่น!J662+ชัยภูมิ!J662+นครพนม!J662+นครราชสีมา!J662+บึงกาฬ!J662+บุรีรัมย์!J662+มหาสารคาม!J662+มุกดาหาร!J662+ยโสธร!J662+ร้อยเอ็ด!J662+เลย!J662+ศรีสะเกษ!J662+สกลนคร!J662+สุรินทร์!J662+หนองคาย!J662+หนองบัวลำภู!J662+อำนาจเจริญ!J662+อุดรธานี!J662+อุบลราชธานี!J662</f>
        <v>0</v>
      </c>
      <c r="K662" s="534"/>
      <c r="L662" s="520"/>
      <c r="M662" s="520"/>
      <c r="N662" s="520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22"/>
      <c r="H663" s="515" t="s">
        <v>122</v>
      </c>
      <c r="I663" s="532">
        <f ca="1">กาฬสินธุ์!I663+ขอนแก่น!I663+ชัยภูมิ!I663+นครพนม!I663+นครราชสีมา!I663+บึงกาฬ!I663+บุรีรัมย์!I663+มหาสารคาม!I663+มุกดาหาร!I663+ยโสธร!I663+ร้อยเอ็ด!I663+เลย!I663+ศรีสะเกษ!I663+สกลนคร!I663+สุรินทร์!I663+หนองคาย!I663+หนองบัวลำภู!I663+อำนาจเจริญ!I663+อุดรธานี!I663+อุบลราชธานี!I663</f>
        <v>91</v>
      </c>
      <c r="J663" s="533">
        <f ca="1">กาฬสินธุ์!J663+ขอนแก่น!J663+ชัยภูมิ!J663+นครพนม!J663+นครราชสีมา!J663+บึงกาฬ!J663+บุรีรัมย์!J663+มหาสารคาม!J663+มุกดาหาร!J663+ยโสธร!J663+ร้อยเอ็ด!J663+เลย!J663+ศรีสะเกษ!J663+สกลนคร!J663+สุรินทร์!J663+หนองคาย!J663+หนองบัวลำภู!J663+อำนาจเจริญ!J663+อุดรธานี!J663+อุบลราชธานี!J663</f>
        <v>0</v>
      </c>
      <c r="K663" s="534">
        <f ca="1">IF(I663&gt;0,J663*100/I663,0)</f>
        <v>0</v>
      </c>
      <c r="L663" s="520"/>
      <c r="M663" s="520"/>
      <c r="N663" s="520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666" t="s">
        <v>253</v>
      </c>
      <c r="G664" s="667"/>
      <c r="H664" s="517"/>
      <c r="I664" s="536"/>
      <c r="J664" s="537"/>
      <c r="K664" s="534"/>
      <c r="L664" s="520"/>
      <c r="M664" s="520"/>
      <c r="N664" s="530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2">
        <f ca="1">กาฬสินธุ์!I665+ขอนแก่น!I665+ชัยภูมิ!I665+นครพนม!I665+นครราชสีมา!I665+บึงกาฬ!I665+บุรีรัมย์!I665+มหาสารคาม!I665+มุกดาหาร!I665+ยโสธร!I665+ร้อยเอ็ด!I665+เลย!I665+ศรีสะเกษ!I665+สกลนคร!I665+สุรินทร์!I665+หนองคาย!I665+หนองบัวลำภู!I665+อำนาจเจริญ!I665+อุดรธานี!I665+อุบลราชธานี!I665</f>
        <v>16</v>
      </c>
      <c r="J665" s="533">
        <f ca="1">กาฬสินธุ์!J665+ขอนแก่น!J665+ชัยภูมิ!J665+นครพนม!J665+นครราชสีมา!J665+บึงกาฬ!J665+บุรีรัมย์!J665+มหาสารคาม!J665+มุกดาหาร!J665+ยโสธร!J665+ร้อยเอ็ด!J665+เลย!J665+ศรีสะเกษ!J665+สกลนคร!J665+สุรินทร์!J665+หนองคาย!J665+หนองบัวลำภู!J665+อำนาจเจริญ!J665+อุดรธานี!J665+อุบลราชธานี!J665</f>
        <v>0</v>
      </c>
      <c r="K665" s="534">
        <f ca="1">IF(I665&gt;0,J665*100/I665,0)</f>
        <v>0</v>
      </c>
      <c r="L665" s="521">
        <f ca="1">กาฬสินธุ์!L665+ขอนแก่น!L665+ชัยภูมิ!L665+นครพนม!L665+นครราชสีมา!L665+บึงกาฬ!L665+บุรีรัมย์!L665+มหาสารคาม!L665+มุกดาหาร!L665+ยโสธร!L665+ร้อยเอ็ด!L665+เลย!L665+ศรีสะเกษ!L665+สกลนคร!L665+สุรินทร์!L665+หนองคาย!L665+หนองบัวลำภู!L665+อำนาจเจริญ!L665+อุดรธานี!L665+อุบลราชธานี!L665</f>
        <v>1920</v>
      </c>
      <c r="M665" s="520"/>
      <c r="N665" s="535">
        <f ca="1">กาฬสินธุ์!N665+ขอนแก่น!N665+ชัยภูมิ!N665+นครพนม!N665+นครราชสีมา!N665+บึงกาฬ!N665+บุรีรัมย์!N665+มหาสารคาม!N665+มุกดาหาร!N665+ยโสธร!N665+ร้อยเอ็ด!N665+เลย!N665+ศรีสะเกษ!N665+สกลนคร!N665+สุรินทร์!N665+หนองคาย!N665+หนองบัวลำภู!N665+อำนาจเจริญ!N665+อุดรธานี!N665+อุบลราชธานี!N665</f>
        <v>0</v>
      </c>
      <c r="O665" s="534">
        <f ca="1">IF(L665&gt;0,N665*100/L665,0)</f>
        <v>0</v>
      </c>
      <c r="P665" s="534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22"/>
      <c r="H666" s="515" t="s">
        <v>36</v>
      </c>
      <c r="I666" s="536"/>
      <c r="J666" s="533">
        <f ca="1">กาฬสินธุ์!J666+ขอนแก่น!J666+ชัยภูมิ!J666+นครพนม!J666+นครราชสีมา!J666+บึงกาฬ!J666+บุรีรัมย์!J666+มหาสารคาม!J666+มุกดาหาร!J666+ยโสธร!J666+ร้อยเอ็ด!J666+เลย!J666+ศรีสะเกษ!J666+สกลนคร!J666+สุรินทร์!J666+หนองคาย!J666+หนองบัวลำภู!J666+อำนาจเจริญ!J666+อุดรธานี!J666+อุบลราชธานี!J666</f>
        <v>0</v>
      </c>
      <c r="K666" s="534"/>
      <c r="L666" s="520"/>
      <c r="M666" s="520"/>
      <c r="N666" s="520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22"/>
      <c r="H667" s="515" t="s">
        <v>122</v>
      </c>
      <c r="I667" s="536"/>
      <c r="J667" s="533">
        <f ca="1">กาฬสินธุ์!J667+ขอนแก่น!J667+ชัยภูมิ!J667+นครพนม!J667+นครราชสีมา!J667+บึงกาฬ!J667+บุรีรัมย์!J667+มหาสารคาม!J667+มุกดาหาร!J667+ยโสธร!J667+ร้อยเอ็ด!J667+เลย!J667+ศรีสะเกษ!J667+สกลนคร!J667+สุรินทร์!J667+หนองคาย!J667+หนองบัวลำภู!J667+อำนาจเจริญ!J667+อุดรธานี!J667+อุบลราชธานี!J667</f>
        <v>0</v>
      </c>
      <c r="K667" s="534"/>
      <c r="L667" s="520"/>
      <c r="M667" s="520"/>
      <c r="N667" s="520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2">
        <f ca="1">กาฬสินธุ์!I668+ขอนแก่น!I668+ชัยภูมิ!I668+นครพนม!I668+นครราชสีมา!I668+บึงกาฬ!I668+บุรีรัมย์!I668+มหาสารคาม!I668+มุกดาหาร!I668+ยโสธร!I668+ร้อยเอ็ด!I668+เลย!I668+ศรีสะเกษ!I668+สกลนคร!I668+สุรินทร์!I668+หนองคาย!I668+หนองบัวลำภู!I668+อำนาจเจริญ!I668+อุดรธานี!I668+อุบลราชธานี!I668</f>
        <v>0</v>
      </c>
      <c r="J668" s="533">
        <f ca="1">กาฬสินธุ์!J668+ขอนแก่น!J668+ชัยภูมิ!J668+นครพนม!J668+นครราชสีมา!J668+บึงกาฬ!J668+บุรีรัมย์!J668+มหาสารคาม!J668+มุกดาหาร!J668+ยโสธร!J668+ร้อยเอ็ด!J668+เลย!J668+ศรีสะเกษ!J668+สกลนคร!J668+สุรินทร์!J668+หนองคาย!J668+หนองบัวลำภู!J668+อำนาจเจริญ!J668+อุดรธานี!J668+อุบลราชธานี!J668</f>
        <v>0</v>
      </c>
      <c r="K668" s="534">
        <f ca="1">IF(I668&gt;0,J668*100/I668,0)</f>
        <v>0</v>
      </c>
      <c r="L668" s="521">
        <f ca="1">กาฬสินธุ์!L668+ขอนแก่น!L668+ชัยภูมิ!L668+นครพนม!L668+นครราชสีมา!L668+บึงกาฬ!L668+บุรีรัมย์!L668+มหาสารคาม!L668+มุกดาหาร!L668+ยโสธร!L668+ร้อยเอ็ด!L668+เลย!L668+ศรีสะเกษ!L668+สกลนคร!L668+สุรินทร์!L668+หนองคาย!L668+หนองบัวลำภู!L668+อำนาจเจริญ!L668+อุดรธานี!L668+อุบลราชธานี!L668</f>
        <v>0</v>
      </c>
      <c r="M668" s="520"/>
      <c r="N668" s="535">
        <f ca="1">กาฬสินธุ์!N668+ขอนแก่น!N668+ชัยภูมิ!N668+นครพนม!N668+นครราชสีมา!N668+บึงกาฬ!N668+บุรีรัมย์!N668+มหาสารคาม!N668+มุกดาหาร!N668+ยโสธร!N668+ร้อยเอ็ด!N668+เลย!N668+ศรีสะเกษ!N668+สกลนคร!N668+สุรินทร์!N668+หนองคาย!N668+หนองบัวลำภู!N668+อำนาจเจริญ!N668+อุดรธานี!N668+อุบลราชธานี!N668</f>
        <v>0</v>
      </c>
      <c r="O668" s="534">
        <f ca="1">IF(L668&gt;0,N668*100/L668,0)</f>
        <v>0</v>
      </c>
      <c r="P668" s="534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22"/>
      <c r="H669" s="515" t="s">
        <v>36</v>
      </c>
      <c r="I669" s="536"/>
      <c r="J669" s="533">
        <f ca="1">กาฬสินธุ์!J669+ขอนแก่น!J669+ชัยภูมิ!J669+นครพนม!J669+นครราชสีมา!J669+บึงกาฬ!J669+บุรีรัมย์!J669+มหาสารคาม!J669+มุกดาหาร!J669+ยโสธร!J669+ร้อยเอ็ด!J669+เลย!J669+ศรีสะเกษ!J669+สกลนคร!J669+สุรินทร์!J669+หนองคาย!J669+หนองบัวลำภู!J669+อำนาจเจริญ!J669+อุดรธานี!J669+อุบลราชธานี!J669</f>
        <v>0</v>
      </c>
      <c r="K669" s="534"/>
      <c r="L669" s="520"/>
      <c r="M669" s="520"/>
      <c r="N669" s="520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22"/>
      <c r="H670" s="515" t="s">
        <v>122</v>
      </c>
      <c r="I670" s="536"/>
      <c r="J670" s="533">
        <f ca="1">กาฬสินธุ์!J670+ขอนแก่น!J670+ชัยภูมิ!J670+นครพนม!J670+นครราชสีมา!J670+บึงกาฬ!J670+บุรีรัมย์!J670+มหาสารคาม!J670+มุกดาหาร!J670+ยโสธร!J670+ร้อยเอ็ด!J670+เลย!J670+ศรีสะเกษ!J670+สกลนคร!J670+สุรินทร์!J670+หนองคาย!J670+หนองบัวลำภู!J670+อำนาจเจริญ!J670+อุดรธานี!J670+อุบลราชธานี!J670</f>
        <v>0</v>
      </c>
      <c r="K670" s="534"/>
      <c r="L670" s="520"/>
      <c r="M670" s="520"/>
      <c r="N670" s="520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666" t="s">
        <v>256</v>
      </c>
      <c r="G671" s="667"/>
      <c r="H671" s="515" t="s">
        <v>122</v>
      </c>
      <c r="I671" s="532">
        <f ca="1">กาฬสินธุ์!I671+ขอนแก่น!I671+ชัยภูมิ!I671+นครพนม!I671+นครราชสีมา!I671+บึงกาฬ!I671+บุรีรัมย์!I671+มหาสารคาม!I671+มุกดาหาร!I671+ยโสธร!I671+ร้อยเอ็ด!I671+เลย!I671+ศรีสะเกษ!I671+สกลนคร!I671+สุรินทร์!I671+หนองคาย!I671+หนองบัวลำภู!I671+อำนาจเจริญ!I671+อุดรธานี!I671+อุบลราชธานี!I671</f>
        <v>572</v>
      </c>
      <c r="J671" s="533">
        <f ca="1">J674+J677</f>
        <v>0</v>
      </c>
      <c r="K671" s="534">
        <f ca="1">IF(I671&gt;0,J671*100/I671,0)</f>
        <v>0</v>
      </c>
      <c r="L671" s="521">
        <f ca="1">กาฬสินธุ์!L671+ขอนแก่น!L671+ชัยภูมิ!L671+นครพนม!L671+นครราชสีมา!L671+บึงกาฬ!L671+บุรีรัมย์!L671+มหาสารคาม!L671+มุกดาหาร!L671+ยโสธร!L671+ร้อยเอ็ด!L671+เลย!L671+ศรีสะเกษ!L671+สกลนคร!L671+สุรินทร์!L671+หนองคาย!L671+หนองบัวลำภู!L671+อำนาจเจริญ!L671+อุดรธานี!L671+อุบลราชธานี!L671</f>
        <v>45760</v>
      </c>
      <c r="M671" s="520"/>
      <c r="N671" s="535">
        <f ca="1">กาฬสินธุ์!N671+ขอนแก่น!N671+ชัยภูมิ!N671+นครพนม!N671+นครราชสีมา!N671+บึงกาฬ!N671+บุรีรัมย์!N671+มหาสารคาม!N671+มุกดาหาร!N671+ยโสธร!N671+ร้อยเอ็ด!N671+เลย!N671+ศรีสะเกษ!N671+สกลนคร!N671+สุรินทร์!N671+หนองคาย!N671+หนองบัวลำภู!N671+อำนาจเจริญ!N671+อุดรธานี!N671+อุบลราชธานี!N671</f>
        <v>0</v>
      </c>
      <c r="O671" s="534">
        <f ca="1">IF(L671&gt;0,N671*100/L671,0)</f>
        <v>0</v>
      </c>
      <c r="P671" s="534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6"/>
      <c r="J672" s="529">
        <f ca="1">กาฬสินธุ์!J672+ขอนแก่น!J672+ชัยภูมิ!J672+นครพนม!J672+นครราชสีมา!J672+บึงกาฬ!J672+บุรีรัมย์!J672+มหาสารคาม!J672+มุกดาหาร!J672+ยโสธร!J672+ร้อยเอ็ด!J672+เลย!J672+ศรีสะเกษ!J672+สกลนคร!J672+สุรินทร์!J672+หนองคาย!J672+หนองบัวลำภู!J672+อำนาจเจริญ!J672+อุดรธานี!J672+อุบลราชธานี!J672</f>
        <v>0</v>
      </c>
      <c r="K672" s="534"/>
      <c r="L672" s="520"/>
      <c r="M672" s="520"/>
      <c r="N672" s="520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22"/>
      <c r="H673" s="515" t="s">
        <v>36</v>
      </c>
      <c r="I673" s="536"/>
      <c r="J673" s="529">
        <f ca="1">กาฬสินธุ์!J673+ขอนแก่น!J673+ชัยภูมิ!J673+นครพนม!J673+นครราชสีมา!J673+บึงกาฬ!J673+บุรีรัมย์!J673+มหาสารคาม!J673+มุกดาหาร!J673+ยโสธร!J673+ร้อยเอ็ด!J673+เลย!J673+ศรีสะเกษ!J673+สกลนคร!J673+สุรินทร์!J673+หนองคาย!J673+หนองบัวลำภู!J673+อำนาจเจริญ!J673+อุดรธานี!J673+อุบลราชธานี!J673</f>
        <v>0</v>
      </c>
      <c r="K673" s="534"/>
      <c r="L673" s="520"/>
      <c r="M673" s="520"/>
      <c r="N673" s="520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22"/>
      <c r="H674" s="515" t="s">
        <v>122</v>
      </c>
      <c r="I674" s="536"/>
      <c r="J674" s="529">
        <f ca="1">กาฬสินธุ์!J674+ขอนแก่น!J674+ชัยภูมิ!J674+นครพนม!J674+นครราชสีมา!J674+บึงกาฬ!J674+บุรีรัมย์!J674+มหาสารคาม!J674+มุกดาหาร!J674+ยโสธร!J674+ร้อยเอ็ด!J674+เลย!J674+ศรีสะเกษ!J674+สกลนคร!J674+สุรินทร์!J674+หนองคาย!J674+หนองบัวลำภู!J674+อำนาจเจริญ!J674+อุดรธานี!J674+อุบลราชธานี!J674</f>
        <v>0</v>
      </c>
      <c r="K674" s="534"/>
      <c r="L674" s="520"/>
      <c r="M674" s="520"/>
      <c r="N674" s="520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6"/>
      <c r="J675" s="529">
        <f ca="1">กาฬสินธุ์!J675+ขอนแก่น!J675+ชัยภูมิ!J675+นครพนม!J675+นครราชสีมา!J675+บึงกาฬ!J675+บุรีรัมย์!J675+มหาสารคาม!J675+มุกดาหาร!J675+ยโสธร!J675+ร้อยเอ็ด!J675+เลย!J675+ศรีสะเกษ!J675+สกลนคร!J675+สุรินทร์!J675+หนองคาย!J675+หนองบัวลำภู!J675+อำนาจเจริญ!J675+อุดรธานี!J675+อุบลราชธานี!J675</f>
        <v>0</v>
      </c>
      <c r="K675" s="534"/>
      <c r="L675" s="520"/>
      <c r="M675" s="520"/>
      <c r="N675" s="520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22"/>
      <c r="H676" s="515" t="s">
        <v>36</v>
      </c>
      <c r="I676" s="536"/>
      <c r="J676" s="529">
        <f ca="1">กาฬสินธุ์!J676+ขอนแก่น!J676+ชัยภูมิ!J676+นครพนม!J676+นครราชสีมา!J676+บึงกาฬ!J676+บุรีรัมย์!J676+มหาสารคาม!J676+มุกดาหาร!J676+ยโสธร!J676+ร้อยเอ็ด!J676+เลย!J676+ศรีสะเกษ!J676+สกลนคร!J676+สุรินทร์!J676+หนองคาย!J676+หนองบัวลำภู!J676+อำนาจเจริญ!J676+อุดรธานี!J676+อุบลราชธานี!J676</f>
        <v>0</v>
      </c>
      <c r="K676" s="534"/>
      <c r="L676" s="520"/>
      <c r="M676" s="520"/>
      <c r="N676" s="520"/>
      <c r="O676" s="518"/>
      <c r="P676" s="518"/>
    </row>
    <row r="677" spans="1:16" ht="21.75" customHeight="1" x14ac:dyDescent="0.3">
      <c r="A677" s="538"/>
      <c r="B677" s="539" t="s">
        <v>259</v>
      </c>
      <c r="C677" s="540"/>
      <c r="D677" s="540"/>
      <c r="E677" s="540"/>
      <c r="F677" s="540"/>
      <c r="G677" s="541"/>
      <c r="H677" s="542" t="s">
        <v>122</v>
      </c>
      <c r="I677" s="543"/>
      <c r="J677" s="544">
        <f ca="1">กาฬสินธุ์!J677+ขอนแก่น!J677+ชัยภูมิ!J677+นครพนม!J677+นครราชสีมา!J677+บึงกาฬ!J677+บุรีรัมย์!J677+มหาสารคาม!J677+มุกดาหาร!J677+ยโสธร!J677+ร้อยเอ็ด!J677+เลย!J677+ศรีสะเกษ!J677+สกลนคร!J677+สุรินทร์!J677+หนองคาย!J677+หนองบัวลำภู!J677+อำนาจเจริญ!J677+อุดรธานี!J677+อุบลราชธานี!J677</f>
        <v>0</v>
      </c>
      <c r="K677" s="545"/>
      <c r="L677" s="546"/>
      <c r="M677" s="546"/>
      <c r="N677" s="546"/>
      <c r="O677" s="545"/>
      <c r="P677" s="545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3" sqref="G1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14062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276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5942883</v>
      </c>
      <c r="M8" s="23">
        <f t="shared" ca="1" si="0"/>
        <v>2780429</v>
      </c>
      <c r="N8" s="23">
        <f t="shared" ca="1" si="0"/>
        <v>3141515.7</v>
      </c>
      <c r="O8" s="22">
        <f t="shared" ref="O8:O16" ca="1" si="1">IF(L8&gt;0,N8*100/L8,0)</f>
        <v>52.861813029130808</v>
      </c>
      <c r="P8" s="22">
        <f t="shared" ref="P8:P16" ca="1" si="2">IF(M8&gt;0,N8*100/M8,0)</f>
        <v>112.98672614909425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5942883</v>
      </c>
      <c r="M10" s="30">
        <f t="shared" ca="1" si="4"/>
        <v>2780429</v>
      </c>
      <c r="N10" s="30">
        <f t="shared" ca="1" si="4"/>
        <v>3141515.7</v>
      </c>
      <c r="O10" s="29">
        <f t="shared" ca="1" si="1"/>
        <v>52.861813029130808</v>
      </c>
      <c r="P10" s="29">
        <f t="shared" ca="1" si="2"/>
        <v>112.98672614909425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5711483</v>
      </c>
      <c r="M12" s="38">
        <f t="shared" ca="1" si="6"/>
        <v>2549029</v>
      </c>
      <c r="N12" s="38">
        <f t="shared" ca="1" si="6"/>
        <v>2910115.7</v>
      </c>
      <c r="O12" s="38">
        <f t="shared" ca="1" si="1"/>
        <v>50.952015439772822</v>
      </c>
      <c r="P12" s="38">
        <f t="shared" ca="1" si="2"/>
        <v>114.165656805003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1816700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3894783</v>
      </c>
      <c r="M14" s="38">
        <f t="shared" si="8"/>
        <v>0</v>
      </c>
      <c r="N14" s="38">
        <f t="shared" ca="1" si="8"/>
        <v>1015274.3</v>
      </c>
      <c r="O14" s="38">
        <f t="shared" ca="1" si="1"/>
        <v>26.067544713017387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231400</v>
      </c>
      <c r="M16" s="38">
        <f t="shared" ca="1" si="10"/>
        <v>231400</v>
      </c>
      <c r="N16" s="38">
        <f t="shared" ca="1" si="10"/>
        <v>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3412905</v>
      </c>
      <c r="M18" s="23">
        <f t="shared" ca="1" si="11"/>
        <v>2780429</v>
      </c>
      <c r="N18" s="23">
        <f t="shared" ca="1" si="11"/>
        <v>2126241.4</v>
      </c>
      <c r="O18" s="22">
        <f t="shared" ref="O18:O20" ca="1" si="12">IF(L18&gt;0,N18*100/L18,0)</f>
        <v>62.300046441374725</v>
      </c>
      <c r="P18" s="22">
        <f t="shared" ref="P18:P26" ca="1" si="13">IF(M18&gt;0,N18*100/M18,0)</f>
        <v>76.471702748029173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3412905</v>
      </c>
      <c r="M20" s="30">
        <f t="shared" ca="1" si="15"/>
        <v>2780429</v>
      </c>
      <c r="N20" s="30">
        <f t="shared" ca="1" si="15"/>
        <v>2126241.4</v>
      </c>
      <c r="O20" s="29">
        <f t="shared" ca="1" si="12"/>
        <v>62.300046441374725</v>
      </c>
      <c r="P20" s="29">
        <f t="shared" ca="1" si="13"/>
        <v>76.471702748029173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3181505</v>
      </c>
      <c r="M22" s="41">
        <f t="shared" ca="1" si="18"/>
        <v>2549029</v>
      </c>
      <c r="N22" s="38">
        <f t="shared" ca="1" si="18"/>
        <v>1894841.4</v>
      </c>
      <c r="O22" s="38">
        <f t="shared" ca="1" si="17"/>
        <v>59.558020496588881</v>
      </c>
      <c r="P22" s="38">
        <f t="shared" ca="1" si="13"/>
        <v>74.33581179343193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1816700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231400</v>
      </c>
      <c r="M26" s="49">
        <f t="shared" ca="1" si="22"/>
        <v>231400</v>
      </c>
      <c r="N26" s="49">
        <f t="shared" ca="1" si="22"/>
        <v>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2529978</v>
      </c>
      <c r="M28" s="23">
        <f t="shared" si="23"/>
        <v>0</v>
      </c>
      <c r="N28" s="23">
        <f t="shared" ca="1" si="23"/>
        <v>1015274.3</v>
      </c>
      <c r="O28" s="22">
        <f t="shared" ref="O28:O30" ca="1" si="24">IF(L28&gt;0,N28*100/L28,0)</f>
        <v>40.129767926835726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2529978</v>
      </c>
      <c r="M30" s="30">
        <f t="shared" si="27"/>
        <v>0</v>
      </c>
      <c r="N30" s="30">
        <f t="shared" ca="1" si="27"/>
        <v>1015274.3</v>
      </c>
      <c r="O30" s="29">
        <f t="shared" ca="1" si="24"/>
        <v>40.129767926835726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2529978</v>
      </c>
      <c r="M32" s="38">
        <f t="shared" si="30"/>
        <v>0</v>
      </c>
      <c r="N32" s="38">
        <f t="shared" ca="1" si="30"/>
        <v>1015274.3</v>
      </c>
      <c r="O32" s="38">
        <f t="shared" ca="1" si="29"/>
        <v>40.129767926835726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2529978</v>
      </c>
      <c r="M34" s="38">
        <f t="shared" si="32"/>
        <v>0</v>
      </c>
      <c r="N34" s="38">
        <f t="shared" ca="1" si="32"/>
        <v>1015274.3</v>
      </c>
      <c r="O34" s="38">
        <f t="shared" ca="1" si="29"/>
        <v>40.129767926835726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3412905</v>
      </c>
      <c r="M37" s="54">
        <f t="shared" ca="1" si="33"/>
        <v>2780429</v>
      </c>
      <c r="N37" s="54">
        <f t="shared" ca="1" si="33"/>
        <v>2126241.4</v>
      </c>
      <c r="O37" s="55">
        <f t="shared" ca="1" si="29"/>
        <v>62.300046441374725</v>
      </c>
      <c r="P37" s="55">
        <f t="shared" ca="1" si="25"/>
        <v>76.471702748029173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694100</v>
      </c>
      <c r="M41" s="78">
        <f t="shared" ca="1" si="34"/>
        <v>520600</v>
      </c>
      <c r="N41" s="78">
        <f t="shared" ca="1" si="34"/>
        <v>406155.75</v>
      </c>
      <c r="O41" s="77">
        <f t="shared" ref="O41:O43" ca="1" si="35">IF(L41&gt;0,N41*100/L41,0)</f>
        <v>58.515451664025356</v>
      </c>
      <c r="P41" s="77">
        <f t="shared" ref="P41:P43" ca="1" si="36">IF(M41&gt;0,N41*100/M41,0)</f>
        <v>78.01685555128698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694100</v>
      </c>
      <c r="M43" s="78">
        <f t="shared" ca="1" si="38"/>
        <v>520600</v>
      </c>
      <c r="N43" s="78">
        <f t="shared" ca="1" si="38"/>
        <v>406155.75</v>
      </c>
      <c r="O43" s="77">
        <f t="shared" ca="1" si="35"/>
        <v>58.515451664025356</v>
      </c>
      <c r="P43" s="77">
        <f t="shared" ca="1" si="36"/>
        <v>78.01685555128698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622">
        <f ca="1">IFERROR(__xludf.DUMMYFUNCTION("IMPORTRANGE(""https://docs.google.com/spreadsheets/d/1Yj_ptqi66GCucihVvJfMjLAmec39IyEx_6qawtMGysU/edit?usp=sharing"",""สบก!Q46"")"),520600)</f>
        <v>520600</v>
      </c>
      <c r="N45" s="622">
        <f ca="1">IFERROR(__xludf.DUMMYFUNCTION("IMPORTRANGE(""https://docs.google.com/spreadsheets/d/1Yj_ptqi66GCucihVvJfMjLAmec39IyEx_6qawtMGysU/edit?usp=sharing"",""สบก!R46"")"),406155.75)</f>
        <v>406155.75</v>
      </c>
      <c r="O45" s="623">
        <f ca="1">IF(L45&gt;0,N45*100/L45,0)</f>
        <v>58.515451664025356</v>
      </c>
      <c r="P45" s="623">
        <f ca="1">IF(M45&gt;0,N45*100/M45,0)</f>
        <v>78.01685555128698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IFERROR(__xludf.DUMMYFUNCTION("IMPORTRANGE(""https://docs.google.com/spreadsheets/d/1Yj_ptqi66GCucihVvJfMjLAmec39IyEx_6qawtMGysU/edit?usp=sharing"",""สบก!M46"")"),694100)</f>
        <v>694100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IFERROR(__xludf.DUMMYFUNCTION("IMPORTRANGE(""https://docs.google.com/spreadsheets/d/1Yj_ptqi66GCucihVvJfMjLAmec39IyEx_6qawtMGysU/edit?usp=sharing"",""สบก!N46"")"),0)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IFERROR(__xludf.DUMMYFUNCTION("IMPORTRANGE(""https://docs.google.com/spreadsheets/d/1Yj_ptqi66GCucihVvJfMjLAmec39IyEx_6qawtMGysU/edit?usp=sharing"",""สบก!O46"")"),0)</f>
        <v>0</v>
      </c>
      <c r="M49" s="625"/>
      <c r="N49" s="622">
        <f ca="1">IFERROR(__xludf.DUMMYFUNCTION("IMPORTRANGE(""https://docs.google.com/spreadsheets/d/1Yj_ptqi66GCucihVvJfMjLAmec39IyEx_6qawtMGysU/edit?usp=sharing"",""สบก!S46"")"),0)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490800</v>
      </c>
      <c r="M53" s="121">
        <f t="shared" ca="1" si="39"/>
        <v>368424</v>
      </c>
      <c r="N53" s="121">
        <f t="shared" ca="1" si="39"/>
        <v>263979</v>
      </c>
      <c r="O53" s="120">
        <f t="shared" ref="O53:O55" ca="1" si="40">IF(L53&gt;0,N53*100/L53,0)</f>
        <v>53.785452322738386</v>
      </c>
      <c r="P53" s="120">
        <f t="shared" ref="P53:P55" ca="1" si="41">IF(M53&gt;0,N53*100/M53,0)</f>
        <v>71.650869650185655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490800</v>
      </c>
      <c r="M55" s="121">
        <f t="shared" ca="1" si="43"/>
        <v>368424</v>
      </c>
      <c r="N55" s="121">
        <f t="shared" ca="1" si="43"/>
        <v>263979</v>
      </c>
      <c r="O55" s="120">
        <f t="shared" ca="1" si="40"/>
        <v>53.785452322738386</v>
      </c>
      <c r="P55" s="120">
        <f t="shared" ca="1" si="41"/>
        <v>71.650869650185655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490800</v>
      </c>
      <c r="M57" s="622">
        <f ca="1">IFERROR(__xludf.DUMMYFUNCTION("IMPORTRANGE(""https://docs.google.com/spreadsheets/d/1Yj_ptqi66GCucihVvJfMjLAmec39IyEx_6qawtMGysU/edit?usp=sharing"",""สบก!Z46"")"),368424)</f>
        <v>368424</v>
      </c>
      <c r="N57" s="622">
        <f ca="1">IFERROR(__xludf.DUMMYFUNCTION("IMPORTRANGE(""https://docs.google.com/spreadsheets/d/1Yj_ptqi66GCucihVvJfMjLAmec39IyEx_6qawtMGysU/edit?usp=sharing"",""สบก!AA46"")"),263979)</f>
        <v>263979</v>
      </c>
      <c r="O57" s="623">
        <f ca="1">IF(L57&gt;0,N57*100/L57,0)</f>
        <v>53.785452322738386</v>
      </c>
      <c r="P57" s="623">
        <f ca="1">IF(M57&gt;0,N57*100/M57,0)</f>
        <v>71.650869650185655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IFERROR(__xludf.DUMMYFUNCTION("IMPORTRANGE(""https://docs.google.com/spreadsheets/d/1Yj_ptqi66GCucihVvJfMjLAmec39IyEx_6qawtMGysU/edit?usp=sharing"",""สบก!V46"")"),490800)</f>
        <v>490800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IFERROR(__xludf.DUMMYFUNCTION("IMPORTRANGE(""https://docs.google.com/spreadsheets/d/1Yj_ptqi66GCucihVvJfMjLAmec39IyEx_6qawtMGysU/edit?usp=sharing"",""สบก!W46"")"),0)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IFERROR(__xludf.DUMMYFUNCTION("IMPORTRANGE(""https://docs.google.com/spreadsheets/d/1Yj_ptqi66GCucihVvJfMjLAmec39IyEx_6qawtMGysU/edit?usp=sharing"",""สบก!X46"")"),0)</f>
        <v>0</v>
      </c>
      <c r="M61" s="625"/>
      <c r="N61" s="622">
        <f ca="1">IFERROR(__xludf.DUMMYFUNCTION("IMPORTRANGE(""https://docs.google.com/spreadsheets/d/1Yj_ptqi66GCucihVvJfMjLAmec39IyEx_6qawtMGysU/edit?usp=sharing"",""สบก!AB46"")"),0)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875800</v>
      </c>
      <c r="M66" s="152">
        <f t="shared" ca="1" si="45"/>
        <v>750800</v>
      </c>
      <c r="N66" s="152">
        <f t="shared" ca="1" si="45"/>
        <v>577943.65</v>
      </c>
      <c r="O66" s="151">
        <f t="shared" ref="O66:O68" ca="1" si="46">IF(L66&gt;0,N66*100/L66,0)</f>
        <v>65.990368805663394</v>
      </c>
      <c r="P66" s="151">
        <f t="shared" ref="P66:P68" ca="1" si="47">IF(M66&gt;0,N66*100/M66,0)</f>
        <v>76.97704448588172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875800</v>
      </c>
      <c r="M68" s="157">
        <f t="shared" ca="1" si="49"/>
        <v>750800</v>
      </c>
      <c r="N68" s="157">
        <f t="shared" ca="1" si="49"/>
        <v>577943.65</v>
      </c>
      <c r="O68" s="156">
        <f t="shared" ca="1" si="46"/>
        <v>65.990368805663394</v>
      </c>
      <c r="P68" s="156">
        <f t="shared" ca="1" si="47"/>
        <v>76.97704448588172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875800</v>
      </c>
      <c r="M70" s="626">
        <f ca="1">IFERROR(__xludf.DUMMYFUNCTION("IMPORTRANGE(""https://docs.google.com/spreadsheets/d/1Yj_ptqi66GCucihVvJfMjLAmec39IyEx_6qawtMGysU/edit?usp=sharing"",""สบก!AI46"")"),750800)</f>
        <v>750800</v>
      </c>
      <c r="N70" s="627">
        <f ca="1">IFERROR(__xludf.DUMMYFUNCTION("IMPORTRANGE(""https://docs.google.com/spreadsheets/d/1Yj_ptqi66GCucihVvJfMjLAmec39IyEx_6qawtMGysU/edit?usp=sharing"",""สบก!AJ46"")"),577943.65)</f>
        <v>577943.65</v>
      </c>
      <c r="O70" s="169">
        <f ca="1">IF(L70&gt;0,N70*100/L70,0)</f>
        <v>65.990368805663394</v>
      </c>
      <c r="P70" s="169">
        <f ca="1">IF(M70&gt;0,N70*100/M70,0)</f>
        <v>76.97704448588172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IFERROR(__xludf.DUMMYFUNCTION("IMPORTRANGE(""https://docs.google.com/spreadsheets/d/1Yj_ptqi66GCucihVvJfMjLAmec39IyEx_6qawtMGysU/edit?usp=sharing"",""สบก!AF46"")"),682000)</f>
        <v>682000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IFERROR(__xludf.DUMMYFUNCTION("IMPORTRANGE(""https://docs.google.com/spreadsheets/d/1Yj_ptqi66GCucihVvJfMjLAmec39IyEx_6qawtMGysU/edit?usp=sharing"",""สบก!AG46"")"),0)</f>
        <v>0</v>
      </c>
      <c r="M74" s="625"/>
      <c r="N74" s="622">
        <f ca="1">IFERROR(__xludf.DUMMYFUNCTION("IMPORTRANGE(""https://docs.google.com/spreadsheets/d/1Yj_ptqi66GCucihVvJfMjLAmec39IyEx_6qawtMGysU/edit?usp=sharing"",""สบก!AK46"")"),0)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IFERROR(__xludf.DUMMYFUNCTION("IMPORTRANGE(""https://docs.google.com/spreadsheets/d/1XL5vhW3sbDhbH9Cz0tuDiY8C3ctxq1tqvaCgkFb8cCA/edit?usp=sharing"",""มุกดาหาร!I28"")"),0)</f>
        <v>0</v>
      </c>
      <c r="J88" s="204">
        <f ca="1">IFERROR(__xludf.DUMMYFUNCTION("IMPORTRANGE(""https://docs.google.com/spreadsheets/d/1XL5vhW3sbDhbH9Cz0tuDiY8C3ctxq1tqvaCgkFb8cCA/edit?usp=sharing"",""มุกดาหาร!J28"")"),0)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IFERROR(__xludf.DUMMYFUNCTION("IMPORTRANGE(""https://docs.google.com/spreadsheets/d/1XL5vhW3sbDhbH9Cz0tuDiY8C3ctxq1tqvaCgkFb8cCA/edit?usp=sharing"",""มุกดาหาร!J30"")"),0)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146448</v>
      </c>
      <c r="O94" s="151">
        <f t="shared" ref="O94:O96" ca="1" si="53">IF(L94&gt;0,N94*100/L94,0)</f>
        <v>68.274125874125872</v>
      </c>
      <c r="P94" s="151">
        <f t="shared" ref="P94:P96" ca="1" si="54">IF(M94&gt;0,N94*100/M94,0)</f>
        <v>75.312025918592994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146448</v>
      </c>
      <c r="O96" s="156">
        <f t="shared" ca="1" si="53"/>
        <v>68.274125874125872</v>
      </c>
      <c r="P96" s="156">
        <f t="shared" ca="1" si="54"/>
        <v>75.312025918592994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IFERROR(__xludf.DUMMYFUNCTION("IMPORTRANGE(""https://docs.google.com/spreadsheets/d/1Yj_ptqi66GCucihVvJfMjLAmec39IyEx_6qawtMGysU/edit?usp=sharing"",""สบก!AR46"")"),102055)</f>
        <v>102055</v>
      </c>
      <c r="N98" s="627">
        <f ca="1">IFERROR(__xludf.DUMMYFUNCTION("IMPORTRANGE(""https://docs.google.com/spreadsheets/d/1Yj_ptqi66GCucihVvJfMjLAmec39IyEx_6qawtMGysU/edit?usp=sharing"",""สบก!AS46"")"),54048)</f>
        <v>54048</v>
      </c>
      <c r="O98" s="169">
        <f ca="1">IF(L98&gt;0,N98*100/L98,0)</f>
        <v>44.265356265356267</v>
      </c>
      <c r="P98" s="169">
        <f ca="1">IF(M98&gt;0,N98*100/M98,0)</f>
        <v>52.959678604673954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IFERROR(__xludf.DUMMYFUNCTION("IMPORTRANGE(""https://docs.google.com/spreadsheets/d/1Yj_ptqi66GCucihVvJfMjLAmec39IyEx_6qawtMGysU/edit?usp=sharing"",""สบก!AP46"")"),92400)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IFERROR(__xludf.DUMMYFUNCTION("IMPORTRANGE(""https://docs.google.com/spreadsheets/d/1Yj_ptqi66GCucihVvJfMjLAmec39IyEx_6qawtMGysU/edit?usp=sharing"",""สบก!AT46"")"),92400)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IFERROR(__xludf.DUMMYFUNCTION("IMPORTRANGE(""https://docs.google.com/spreadsheets/d/1XL5vhW3sbDhbH9Cz0tuDiY8C3ctxq1tqvaCgkFb8cCA/edit?usp=sharing"",""มุกดาหาร!J50"")"),0)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IFERROR(__xludf.DUMMYFUNCTION("IMPORTRANGE(""https://docs.google.com/spreadsheets/d/1Yj_ptqi66GCucihVvJfMjLAmec39IyEx_6qawtMGysU/edit?usp=sharing"",""สบก!BA46"")"),0)</f>
        <v>0</v>
      </c>
      <c r="N122" s="627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IFERROR(__xludf.DUMMYFUNCTION("IMPORTRANGE(""https://docs.google.com/spreadsheets/d/1Yj_ptqi66GCucihVvJfMjLAmec39IyEx_6qawtMGysU/edit?usp=sharing"",""สบก!AY46"")"),0)</f>
        <v>0</v>
      </c>
      <c r="M126" s="625"/>
      <c r="N126" s="622">
        <f ca="1">IFERROR(__xludf.DUMMYFUNCTION("IMPORTRANGE(""https://docs.google.com/spreadsheets/d/1Yj_ptqi66GCucihVvJfMjLAmec39IyEx_6qawtMGysU/edit?usp=sharing"",""สบก!BC46"")"),0)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277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IFERROR(__xludf.DUMMYFUNCTION("IMPORTRANGE(""https://docs.google.com/spreadsheets/d/1XL5vhW3sbDhbH9Cz0tuDiY8C3ctxq1tqvaCgkFb8cCA/edit?usp=sharing"",""มุกดาหาร!J65"")"),0)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IFERROR(__xludf.DUMMYFUNCTION("IMPORTRANGE(""https://docs.google.com/spreadsheets/d/1XL5vhW3sbDhbH9Cz0tuDiY8C3ctxq1tqvaCgkFb8cCA/edit?usp=sharing"",""มุกดาหาร!I68"")"),15)</f>
        <v>15</v>
      </c>
      <c r="J138" s="267">
        <f ca="1">IFERROR(__xludf.DUMMYFUNCTION("IMPORTRANGE(""https://docs.google.com/spreadsheets/d/1XL5vhW3sbDhbH9Cz0tuDiY8C3ctxq1tqvaCgkFb8cCA/edit?usp=sharing"",""มุกดาหาร!J68"")"),15)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227500</v>
      </c>
      <c r="M140" s="152">
        <f t="shared" ca="1" si="64"/>
        <v>184625</v>
      </c>
      <c r="N140" s="152">
        <f t="shared" ca="1" si="64"/>
        <v>142910</v>
      </c>
      <c r="O140" s="151">
        <f t="shared" ref="O140:O142" ca="1" si="65">IF(L140&gt;0,N140*100/L140,0)</f>
        <v>62.817582417582415</v>
      </c>
      <c r="P140" s="151">
        <f t="shared" ref="P140:P142" ca="1" si="66">IF(M140&gt;0,N140*100/M140,0)</f>
        <v>77.405551794177384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227500</v>
      </c>
      <c r="M142" s="157">
        <f t="shared" ca="1" si="68"/>
        <v>184625</v>
      </c>
      <c r="N142" s="157">
        <f t="shared" ca="1" si="68"/>
        <v>142910</v>
      </c>
      <c r="O142" s="156">
        <f t="shared" ca="1" si="65"/>
        <v>62.817582417582415</v>
      </c>
      <c r="P142" s="156">
        <f t="shared" ca="1" si="66"/>
        <v>77.405551794177384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227500</v>
      </c>
      <c r="M144" s="626">
        <f ca="1">IFERROR(__xludf.DUMMYFUNCTION("IMPORTRANGE(""https://docs.google.com/spreadsheets/d/1Yj_ptqi66GCucihVvJfMjLAmec39IyEx_6qawtMGysU/edit?usp=sharing"",""สบก!BJ46"")"),184625)</f>
        <v>184625</v>
      </c>
      <c r="N144" s="627">
        <f ca="1">IFERROR(__xludf.DUMMYFUNCTION("IMPORTRANGE(""https://docs.google.com/spreadsheets/d/1Yj_ptqi66GCucihVvJfMjLAmec39IyEx_6qawtMGysU/edit?usp=sharing"",""สบก!BK46"")"),142910)</f>
        <v>142910</v>
      </c>
      <c r="O144" s="169">
        <f ca="1">IF(L144&gt;0,N144*100/L144,0)</f>
        <v>62.817582417582415</v>
      </c>
      <c r="P144" s="169">
        <f ca="1">IF(M144&gt;0,N144*100/M144,0)</f>
        <v>77.405551794177384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IFERROR(__xludf.DUMMYFUNCTION("IMPORTRANGE(""https://docs.google.com/spreadsheets/d/1Yj_ptqi66GCucihVvJfMjLAmec39IyEx_6qawtMGysU/edit?usp=sharing"",""สบก!BG46"")"),95500)</f>
        <v>95500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IFERROR(__xludf.DUMMYFUNCTION("IMPORTRANGE(""https://docs.google.com/spreadsheets/d/1Yj_ptqi66GCucihVvJfMjLAmec39IyEx_6qawtMGysU/edit?usp=sharing"",""สบก!BH46"")"),0)</f>
        <v>0</v>
      </c>
      <c r="M148" s="625"/>
      <c r="N148" s="622">
        <f ca="1">IFERROR(__xludf.DUMMYFUNCTION("IMPORTRANGE(""https://docs.google.com/spreadsheets/d/1Yj_ptqi66GCucihVvJfMjLAmec39IyEx_6qawtMGysU/edit?usp=sharing"",""สบก!BL46"")"),0)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IFERROR(__xludf.DUMMYFUNCTION("IMPORTRANGE(""https://docs.google.com/spreadsheets/d/1XL5vhW3sbDhbH9Cz0tuDiY8C3ctxq1tqvaCgkFb8cCA/edit?usp=sharing"",""มุกดาหาร!I74"")"),4)</f>
        <v>4</v>
      </c>
      <c r="J149" s="275">
        <f ca="1">IFERROR(__xludf.DUMMYFUNCTION("IMPORTRANGE(""https://docs.google.com/spreadsheets/d/1XL5vhW3sbDhbH9Cz0tuDiY8C3ctxq1tqvaCgkFb8cCA/edit?usp=sharing"",""มุกดาหาร!J74"")"),1)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IFERROR(__xludf.DUMMYFUNCTION("IMPORTRANGE(""https://docs.google.com/spreadsheets/d/1XL5vhW3sbDhbH9Cz0tuDiY8C3ctxq1tqvaCgkFb8cCA/edit?usp=sharing"",""มุกดาหาร!J84"")"),11)</f>
        <v>11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IFERROR(__xludf.DUMMYFUNCTION("IMPORTRANGE(""https://docs.google.com/spreadsheets/d/1XL5vhW3sbDhbH9Cz0tuDiY8C3ctxq1tqvaCgkFb8cCA/edit?usp=sharing"",""มุกดาหาร!J85"")"),11)</f>
        <v>11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IFERROR(__xludf.DUMMYFUNCTION("IMPORTRANGE(""https://docs.google.com/spreadsheets/d/1XL5vhW3sbDhbH9Cz0tuDiY8C3ctxq1tqvaCgkFb8cCA/edit?usp=sharing"",""มุกดาหาร!J88"")"),0)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IFERROR(__xludf.DUMMYFUNCTION("IMPORTRANGE(""https://docs.google.com/spreadsheets/d/1XL5vhW3sbDhbH9Cz0tuDiY8C3ctxq1tqvaCgkFb8cCA/edit?usp=sharing"",""มุกดาหาร!I89"")"),3)</f>
        <v>3</v>
      </c>
      <c r="J164" s="284">
        <f ca="1">IFERROR(__xludf.DUMMYFUNCTION("IMPORTRANGE(""https://docs.google.com/spreadsheets/d/1XL5vhW3sbDhbH9Cz0tuDiY8C3ctxq1tqvaCgkFb8cCA/edit?usp=sharing"",""มุกดาหาร!J89"")"),3)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IFERROR(__xludf.DUMMYFUNCTION("IMPORTRANGE(""https://docs.google.com/spreadsheets/d/1XL5vhW3sbDhbH9Cz0tuDiY8C3ctxq1tqvaCgkFb8cCA/edit?usp=sharing"",""มุกดาหาร!J100"")"),1)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IFERROR(__xludf.DUMMYFUNCTION("IMPORTRANGE(""https://docs.google.com/spreadsheets/d/1XL5vhW3sbDhbH9Cz0tuDiY8C3ctxq1tqvaCgkFb8cCA/edit?usp=sharing"",""มุกดาหาร!I101"")"),1)</f>
        <v>1</v>
      </c>
      <c r="J176" s="284">
        <f ca="1">IFERROR(__xludf.DUMMYFUNCTION("IMPORTRANGE(""https://docs.google.com/spreadsheets/d/1XL5vhW3sbDhbH9Cz0tuDiY8C3ctxq1tqvaCgkFb8cCA/edit?usp=sharing"",""มุกดาหาร!J101"")"),1)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IFERROR(__xludf.DUMMYFUNCTION("IMPORTRANGE(""https://docs.google.com/spreadsheets/d/1XL5vhW3sbDhbH9Cz0tuDiY8C3ctxq1tqvaCgkFb8cCA/edit?usp=sharing"",""มุกดาหาร!J113"")"),0)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IFERROR(__xludf.DUMMYFUNCTION("IMPORTRANGE(""https://docs.google.com/spreadsheets/d/1XL5vhW3sbDhbH9Cz0tuDiY8C3ctxq1tqvaCgkFb8cCA/edit?usp=sharing"",""มุกดาหาร!I114"")"),40000)</f>
        <v>40000</v>
      </c>
      <c r="J189" s="284">
        <f ca="1">IFERROR(__xludf.DUMMYFUNCTION("IMPORTRANGE(""https://docs.google.com/spreadsheets/d/1XL5vhW3sbDhbH9Cz0tuDiY8C3ctxq1tqvaCgkFb8cCA/edit?usp=sharing"",""มุกดาหาร!J114"")"),0)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IFERROR(__xludf.DUMMYFUNCTION("IMPORTRANGE(""https://docs.google.com/spreadsheets/d/1XL5vhW3sbDhbH9Cz0tuDiY8C3ctxq1tqvaCgkFb8cCA/edit?usp=sharing"",""มุกดาหาร!J128"")"),0)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IFERROR(__xludf.DUMMYFUNCTION("IMPORTRANGE(""https://docs.google.com/spreadsheets/d/1XL5vhW3sbDhbH9Cz0tuDiY8C3ctxq1tqvaCgkFb8cCA/edit?usp=sharing"",""มุกดาหาร!I129"")"),0)</f>
        <v>0</v>
      </c>
      <c r="J204" s="284">
        <f ca="1">IFERROR(__xludf.DUMMYFUNCTION("IMPORTRANGE(""https://docs.google.com/spreadsheets/d/1XL5vhW3sbDhbH9Cz0tuDiY8C3ctxq1tqvaCgkFb8cCA/edit?usp=sharing"",""มุกดาหาร!J129"")"),0)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IFERROR(__xludf.DUMMYFUNCTION("IMPORTRANGE(""https://docs.google.com/spreadsheets/d/1XL5vhW3sbDhbH9Cz0tuDiY8C3ctxq1tqvaCgkFb8cCA/edit?usp=sharing"",""มุกดาหาร!J143"")"),0)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IFERROR(__xludf.DUMMYFUNCTION("IMPORTRANGE(""https://docs.google.com/spreadsheets/d/1XL5vhW3sbDhbH9Cz0tuDiY8C3ctxq1tqvaCgkFb8cCA/edit?usp=sharing"",""มุกดาหาร!I144"")"),13)</f>
        <v>13</v>
      </c>
      <c r="J219" s="267">
        <f ca="1">IFERROR(__xludf.DUMMYFUNCTION("IMPORTRANGE(""https://docs.google.com/spreadsheets/d/1XL5vhW3sbDhbH9Cz0tuDiY8C3ctxq1tqvaCgkFb8cCA/edit?usp=sharing"",""มุกดาหาร!J144"")"),13)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6">
        <f ca="1">IFERROR(__xludf.DUMMYFUNCTION("IMPORTRANGE(""https://docs.google.com/spreadsheets/d/1Yj_ptqi66GCucihVvJfMjLAmec39IyEx_6qawtMGysU/edit?usp=sharing"",""สบก!BS46"")"),19295)</f>
        <v>19295</v>
      </c>
      <c r="N224" s="627">
        <f ca="1">IFERROR(__xludf.DUMMYFUNCTION("IMPORTRANGE(""https://docs.google.com/spreadsheets/d/1Yj_ptqi66GCucihVvJfMjLAmec39IyEx_6qawtMGysU/edit?usp=sharing"",""สบก!BT46"")"),19295)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IFERROR(__xludf.DUMMYFUNCTION("IMPORTRANGE(""https://docs.google.com/spreadsheets/d/1Yj_ptqi66GCucihVvJfMjLAmec39IyEx_6qawtMGysU/edit?usp=sharing"",""สบก!BQ46"")"),0)</f>
        <v>0</v>
      </c>
      <c r="M228" s="625"/>
      <c r="N228" s="622">
        <f ca="1">IFERROR(__xludf.DUMMYFUNCTION("IMPORTRANGE(""https://docs.google.com/spreadsheets/d/1Yj_ptqi66GCucihVvJfMjLAmec39IyEx_6qawtMGysU/edit?usp=sharing"",""สบก!BU46"")"),0)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IFERROR(__xludf.DUMMYFUNCTION("IMPORTRANGE(""https://docs.google.com/spreadsheets/d/1XL5vhW3sbDhbH9Cz0tuDiY8C3ctxq1tqvaCgkFb8cCA/edit?usp=sharing"",""มุกดาหาร!I149"")"),13)</f>
        <v>13</v>
      </c>
      <c r="J229" s="267">
        <f ca="1">IFERROR(__xludf.DUMMYFUNCTION("IMPORTRANGE(""https://docs.google.com/spreadsheets/d/1XL5vhW3sbDhbH9Cz0tuDiY8C3ctxq1tqvaCgkFb8cCA/edit?usp=sharing"",""มุกดาหาร!J149"")"),13)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IFERROR(__xludf.DUMMYFUNCTION("IMPORTRANGE(""https://docs.google.com/spreadsheets/d/1XL5vhW3sbDhbH9Cz0tuDiY8C3ctxq1tqvaCgkFb8cCA/edit?usp=sharing"",""มุกดาหาร!J157"")"),1)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IFERROR(__xludf.DUMMYFUNCTION("IMPORTRANGE(""https://docs.google.com/spreadsheets/d/1XL5vhW3sbDhbH9Cz0tuDiY8C3ctxq1tqvaCgkFb8cCA/edit?usp=sharing"",""มุกดาหาร!I158"")"),0)</f>
        <v>0</v>
      </c>
      <c r="J238" s="267">
        <f ca="1">IFERROR(__xludf.DUMMYFUNCTION("IMPORTRANGE(""https://docs.google.com/spreadsheets/d/1XL5vhW3sbDhbH9Cz0tuDiY8C3ctxq1tqvaCgkFb8cCA/edit?usp=sharing"",""มุกดาหาร!J158"")"),0)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IFERROR(__xludf.DUMMYFUNCTION("IMPORTRANGE(""https://docs.google.com/spreadsheets/d/1XL5vhW3sbDhbH9Cz0tuDiY8C3ctxq1tqvaCgkFb8cCA/edit?usp=sharing"",""มุกดาหาร!J166"")"),0)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IFERROR(__xludf.DUMMYFUNCTION("IMPORTRANGE(""https://docs.google.com/spreadsheets/d/1XL5vhW3sbDhbH9Cz0tuDiY8C3ctxq1tqvaCgkFb8cCA/edit?usp=sharing"",""มุกดาหาร!I169"")"),0)</f>
        <v>0</v>
      </c>
      <c r="J249" s="316">
        <f ca="1">IFERROR(__xludf.DUMMYFUNCTION("IMPORTRANGE(""https://docs.google.com/spreadsheets/d/1XL5vhW3sbDhbH9Cz0tuDiY8C3ctxq1tqvaCgkFb8cCA/edit?usp=sharing"",""มุกดาหาร!J169"")"),0)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IFERROR(__xludf.DUMMYFUNCTION("IMPORTRANGE(""https://docs.google.com/spreadsheets/d/1Yj_ptqi66GCucihVvJfMjLAmec39IyEx_6qawtMGysU/edit?usp=sharing"",""สบก!CB46"")"),0)</f>
        <v>0</v>
      </c>
      <c r="N254" s="627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IFERROR(__xludf.DUMMYFUNCTION("IMPORTRANGE(""https://docs.google.com/spreadsheets/d/1Yj_ptqi66GCucihVvJfMjLAmec39IyEx_6qawtMGysU/edit?usp=sharing"",""สบก!BZ46"")"),0)</f>
        <v>0</v>
      </c>
      <c r="M258" s="625"/>
      <c r="N258" s="622">
        <f ca="1">IFERROR(__xludf.DUMMYFUNCTION("IMPORTRANGE(""https://docs.google.com/spreadsheets/d/1Yj_ptqi66GCucihVvJfMjLAmec39IyEx_6qawtMGysU/edit?usp=sharing"",""สบก!CD46"")"),0)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IFERROR(__xludf.DUMMYFUNCTION("IMPORTRANGE(""https://docs.google.com/spreadsheets/d/1XL5vhW3sbDhbH9Cz0tuDiY8C3ctxq1tqvaCgkFb8cCA/edit?usp=sharing"",""มุกดาหาร!J184"")"),0)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IFERROR(__xludf.DUMMYFUNCTION("IMPORTRANGE(""https://docs.google.com/spreadsheets/d/1XL5vhW3sbDhbH9Cz0tuDiY8C3ctxq1tqvaCgkFb8cCA/edit?usp=sharing"",""มุกดาหาร!I185"")"),15)</f>
        <v>15</v>
      </c>
      <c r="J270" s="316">
        <f ca="1">IFERROR(__xludf.DUMMYFUNCTION("IMPORTRANGE(""https://docs.google.com/spreadsheets/d/1XL5vhW3sbDhbH9Cz0tuDiY8C3ctxq1tqvaCgkFb8cCA/edit?usp=sharing"",""มุกดาหาร!J185"")"),15)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25210</v>
      </c>
      <c r="O271" s="151">
        <f t="shared" ref="O271:O273" ca="1" si="84">IF(L271&gt;0,N271*100/L271,0)</f>
        <v>45.670289855072461</v>
      </c>
      <c r="P271" s="151">
        <f t="shared" ref="P271:P273" ca="1" si="85">IF(M271&gt;0,N271*100/M271,0)</f>
        <v>78.170542635658919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25210</v>
      </c>
      <c r="O273" s="156">
        <f t="shared" ca="1" si="84"/>
        <v>45.670289855072461</v>
      </c>
      <c r="P273" s="156">
        <f t="shared" ca="1" si="85"/>
        <v>78.170542635658919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IFERROR(__xludf.DUMMYFUNCTION("IMPORTRANGE(""https://docs.google.com/spreadsheets/d/1Yj_ptqi66GCucihVvJfMjLAmec39IyEx_6qawtMGysU/edit?usp=sharing"",""สบก!CK46"")"),32250)</f>
        <v>32250</v>
      </c>
      <c r="N275" s="627">
        <f ca="1">IFERROR(__xludf.DUMMYFUNCTION("IMPORTRANGE(""https://docs.google.com/spreadsheets/d/1Yj_ptqi66GCucihVvJfMjLAmec39IyEx_6qawtMGysU/edit?usp=sharing"",""สบก!CL46"")"),25210)</f>
        <v>25210</v>
      </c>
      <c r="O275" s="169">
        <f ca="1">IF(L275&gt;0,N275*100/L275,0)</f>
        <v>45.670289855072461</v>
      </c>
      <c r="P275" s="169">
        <f ca="1">IF(M275&gt;0,N275*100/M275,0)</f>
        <v>78.170542635658919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IFERROR(__xludf.DUMMYFUNCTION("IMPORTRANGE(""https://docs.google.com/spreadsheets/d/1Yj_ptqi66GCucihVvJfMjLAmec39IyEx_6qawtMGysU/edit?usp=sharing"",""สบก!CI46"")"),0)</f>
        <v>0</v>
      </c>
      <c r="M279" s="625"/>
      <c r="N279" s="622">
        <f ca="1">IFERROR(__xludf.DUMMYFUNCTION("IMPORTRANGE(""https://docs.google.com/spreadsheets/d/1Yj_ptqi66GCucihVvJfMjLAmec39IyEx_6qawtMGysU/edit?usp=sharing"",""สบก!CM46"")"),0)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IFERROR(__xludf.DUMMYFUNCTION("IMPORTRANGE(""https://docs.google.com/spreadsheets/d/1XL5vhW3sbDhbH9Cz0tuDiY8C3ctxq1tqvaCgkFb8cCA/edit?usp=sharing"",""มุกดาหาร!J197"")"),0)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IFERROR(__xludf.DUMMYFUNCTION("IMPORTRANGE(""https://docs.google.com/spreadsheets/d/1XL5vhW3sbDhbH9Cz0tuDiY8C3ctxq1tqvaCgkFb8cCA/edit?usp=sharing"",""มุกดาหาร!I199"")"),0)</f>
        <v>0</v>
      </c>
      <c r="J289" s="316">
        <f ca="1">IFERROR(__xludf.DUMMYFUNCTION("IMPORTRANGE(""https://docs.google.com/spreadsheets/d/1XL5vhW3sbDhbH9Cz0tuDiY8C3ctxq1tqvaCgkFb8cCA/edit?usp=sharing"",""มุกดาหาร!J199"")"),0)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IFERROR(__xludf.DUMMYFUNCTION("IMPORTRANGE(""https://docs.google.com/spreadsheets/d/1Yj_ptqi66GCucihVvJfMjLAmec39IyEx_6qawtMGysU/edit?usp=sharing"",""สบก!CT46"")"),0)</f>
        <v>0</v>
      </c>
      <c r="N294" s="627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IFERROR(__xludf.DUMMYFUNCTION("IMPORTRANGE(""https://docs.google.com/spreadsheets/d/1Yj_ptqi66GCucihVvJfMjLAmec39IyEx_6qawtMGysU/edit?usp=sharing"",""สบก!CR46"")"),0)</f>
        <v>0</v>
      </c>
      <c r="M298" s="625"/>
      <c r="N298" s="622">
        <f ca="1">IFERROR(__xludf.DUMMYFUNCTION("IMPORTRANGE(""https://docs.google.com/spreadsheets/d/1Yj_ptqi66GCucihVvJfMjLAmec39IyEx_6qawtMGysU/edit?usp=sharing"",""สบก!CV46"")"),0)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IFERROR(__xludf.DUMMYFUNCTION("IMPORTRANGE(""https://docs.google.com/spreadsheets/d/1XL5vhW3sbDhbH9Cz0tuDiY8C3ctxq1tqvaCgkFb8cCA/edit?usp=sharing"",""มุกดาหาร!J213"")"),0)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IFERROR(__xludf.DUMMYFUNCTION("IMPORTRANGE(""https://docs.google.com/spreadsheets/d/1XL5vhW3sbDhbH9Cz0tuDiY8C3ctxq1tqvaCgkFb8cCA/edit?usp=sharing"",""มุกดาหาร!I214"")"),0)</f>
        <v>0</v>
      </c>
      <c r="J309" s="333">
        <f ca="1">IFERROR(__xludf.DUMMYFUNCTION("IMPORTRANGE(""https://docs.google.com/spreadsheets/d/1XL5vhW3sbDhbH9Cz0tuDiY8C3ctxq1tqvaCgkFb8cCA/edit?usp=sharing"",""มุกดาหาร!J214"")"),0)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IFERROR(__xludf.DUMMYFUNCTION("IMPORTRANGE(""https://docs.google.com/spreadsheets/d/1Yj_ptqi66GCucihVvJfMjLAmec39IyEx_6qawtMGysU/edit?usp=sharing"",""สบก!DC46"")"),0)</f>
        <v>0</v>
      </c>
      <c r="N314" s="627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IFERROR(__xludf.DUMMYFUNCTION("IMPORTRANGE(""https://docs.google.com/spreadsheets/d/1Yj_ptqi66GCucihVvJfMjLAmec39IyEx_6qawtMGysU/edit?usp=sharing"",""สบก!DA46"")"),0)</f>
        <v>0</v>
      </c>
      <c r="M318" s="625"/>
      <c r="N318" s="622">
        <f ca="1">IFERROR(__xludf.DUMMYFUNCTION("IMPORTRANGE(""https://docs.google.com/spreadsheets/d/1Yj_ptqi66GCucihVvJfMjLAmec39IyEx_6qawtMGysU/edit?usp=sharing"",""สบก!DE46"")"),0)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IFERROR(__xludf.DUMMYFUNCTION("IMPORTRANGE(""https://docs.google.com/spreadsheets/d/1XL5vhW3sbDhbH9Cz0tuDiY8C3ctxq1tqvaCgkFb8cCA/edit?usp=sharing"",""มุกดาหาร!J226"")"),0)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IFERROR(__xludf.DUMMYFUNCTION("IMPORTRANGE(""https://docs.google.com/spreadsheets/d/1XL5vhW3sbDhbH9Cz0tuDiY8C3ctxq1tqvaCgkFb8cCA/edit?usp=sharing"",""มุกดาหาร!I228"")"),225)</f>
        <v>225</v>
      </c>
      <c r="J328" s="339">
        <f ca="1">IFERROR(__xludf.DUMMYFUNCTION("IMPORTRANGE(""https://docs.google.com/spreadsheets/d/1XL5vhW3sbDhbH9Cz0tuDiY8C3ctxq1tqvaCgkFb8cCA/edit?usp=sharing"",""มุกดาหาร!J228"")"),196)</f>
        <v>196</v>
      </c>
      <c r="K328" s="317">
        <f ca="1">IF(I328&gt;0,J328*100/I328,0)</f>
        <v>87.111111111111114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835710</v>
      </c>
      <c r="M329" s="152">
        <f t="shared" ca="1" si="98"/>
        <v>709980</v>
      </c>
      <c r="N329" s="152">
        <f t="shared" ca="1" si="98"/>
        <v>544300</v>
      </c>
      <c r="O329" s="151">
        <f t="shared" ref="O329:O331" ca="1" si="99">IF(L329&gt;0,N329*100/L329,0)</f>
        <v>65.130248531189054</v>
      </c>
      <c r="P329" s="151">
        <f t="shared" ref="P329:P331" ca="1" si="100">IF(M329&gt;0,N329*100/M329,0)</f>
        <v>76.664131383982649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835710</v>
      </c>
      <c r="M331" s="157">
        <f t="shared" ca="1" si="102"/>
        <v>709980</v>
      </c>
      <c r="N331" s="157">
        <f t="shared" ca="1" si="102"/>
        <v>544300</v>
      </c>
      <c r="O331" s="156">
        <f t="shared" ca="1" si="99"/>
        <v>65.130248531189054</v>
      </c>
      <c r="P331" s="156">
        <f t="shared" ca="1" si="100"/>
        <v>76.664131383982649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696710</v>
      </c>
      <c r="M333" s="626">
        <f ca="1">IFERROR(__xludf.DUMMYFUNCTION("IMPORTRANGE(""https://docs.google.com/spreadsheets/d/1Yj_ptqi66GCucihVvJfMjLAmec39IyEx_6qawtMGysU/edit?usp=sharing"",""สบก!DL46"")"),570980)</f>
        <v>570980</v>
      </c>
      <c r="N333" s="627">
        <f ca="1">IFERROR(__xludf.DUMMYFUNCTION("IMPORTRANGE(""https://docs.google.com/spreadsheets/d/1Yj_ptqi66GCucihVvJfMjLAmec39IyEx_6qawtMGysU/edit?usp=sharing"",""สบก!DM46"")"),405300)</f>
        <v>405300</v>
      </c>
      <c r="O333" s="169">
        <f ca="1">IF(L333&gt;0,N333*100/L333,0)</f>
        <v>58.17341505073847</v>
      </c>
      <c r="P333" s="169">
        <f ca="1">IF(M333&gt;0,N333*100/M333,0)</f>
        <v>70.983221829135871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IFERROR(__xludf.DUMMYFUNCTION("IMPORTRANGE(""https://docs.google.com/spreadsheets/d/1Yj_ptqi66GCucihVvJfMjLAmec39IyEx_6qawtMGysU/edit?usp=sharing"",""สบก!DI46"")"),390710)</f>
        <v>390710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IFERROR(__xludf.DUMMYFUNCTION("IMPORTRANGE(""https://docs.google.com/spreadsheets/d/1Yj_ptqi66GCucihVvJfMjLAmec39IyEx_6qawtMGysU/edit?usp=sharing"",""สบก!DJ46"")"),139000)</f>
        <v>139000</v>
      </c>
      <c r="M337" s="625">
        <f ca="1">L337</f>
        <v>139000</v>
      </c>
      <c r="N337" s="622">
        <f ca="1">IFERROR(__xludf.DUMMYFUNCTION("IMPORTRANGE(""https://docs.google.com/spreadsheets/d/1Yj_ptqi66GCucihVvJfMjLAmec39IyEx_6qawtMGysU/edit?usp=sharing"",""สบก!DN46"")"),139000)</f>
        <v>139000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IFERROR(__xludf.DUMMYFUNCTION("IMPORTRANGE(""https://docs.google.com/spreadsheets/d/1XL5vhW3sbDhbH9Cz0tuDiY8C3ctxq1tqvaCgkFb8cCA/edit?usp=sharing"",""มุกดาหาร!J234"")"),200)</f>
        <v>200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IFERROR(__xludf.DUMMYFUNCTION("IMPORTRANGE(""https://docs.google.com/spreadsheets/d/1XL5vhW3sbDhbH9Cz0tuDiY8C3ctxq1tqvaCgkFb8cCA/edit?usp=sharing"",""มุกดาหาร!J235"")"),1489.18)</f>
        <v>1489.18</v>
      </c>
      <c r="K340" s="342">
        <f t="shared" ca="1" si="103"/>
        <v>82.732222222222219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IFERROR(__xludf.DUMMYFUNCTION("IMPORTRANGE(""https://docs.google.com/spreadsheets/d/1XL5vhW3sbDhbH9Cz0tuDiY8C3ctxq1tqvaCgkFb8cCA/edit?usp=sharing"",""มุกดาหาร!J236"")"),294)</f>
        <v>294</v>
      </c>
      <c r="K341" s="342">
        <f t="shared" ca="1" si="103"/>
        <v>130.66666666666666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IFERROR(__xludf.DUMMYFUNCTION("IMPORTRANGE(""https://docs.google.com/spreadsheets/d/1XL5vhW3sbDhbH9Cz0tuDiY8C3ctxq1tqvaCgkFb8cCA/edit?usp=sharing"",""มุกดาหาร!J237"")"),2638.91)</f>
        <v>2638.91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IFERROR(__xludf.DUMMYFUNCTION("IMPORTRANGE(""https://docs.google.com/spreadsheets/d/1XL5vhW3sbDhbH9Cz0tuDiY8C3ctxq1tqvaCgkFb8cCA/edit?usp=sharing"",""มุกดาหาร!J240"")"),196)</f>
        <v>196</v>
      </c>
      <c r="K345" s="342">
        <f t="shared" ca="1" si="103"/>
        <v>87.111111111111114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IFERROR(__xludf.DUMMYFUNCTION("IMPORTRANGE(""https://docs.google.com/spreadsheets/d/1XL5vhW3sbDhbH9Cz0tuDiY8C3ctxq1tqvaCgkFb8cCA/edit?usp=sharing"",""มุกดาหาร!J241"")"),1885.84)</f>
        <v>1885.84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IFERROR(__xludf.DUMMYFUNCTION("IMPORTRANGE(""https://docs.google.com/spreadsheets/d/1XL5vhW3sbDhbH9Cz0tuDiY8C3ctxq1tqvaCgkFb8cCA/edit?usp=sharing"",""มุกดาหาร!L242"")"),2529978)</f>
        <v>2529978</v>
      </c>
      <c r="M347" s="358"/>
      <c r="N347" s="358">
        <f ca="1">IFERROR(__xludf.DUMMYFUNCTION("IMPORTRANGE(""https://docs.google.com/spreadsheets/d/1XL5vhW3sbDhbH9Cz0tuDiY8C3ctxq1tqvaCgkFb8cCA/edit?usp=sharing"",""มุกดาหาร!M242"")"),1015274.3)</f>
        <v>1015274.3</v>
      </c>
      <c r="O347" s="358">
        <f ca="1">+IF(L347&gt;0,N347*100/L347,0)</f>
        <v>40.129767926835726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IFERROR(__xludf.DUMMYFUNCTION("IMPORTRANGE(""https://docs.google.com/spreadsheets/d/1XL5vhW3sbDhbH9Cz0tuDiY8C3ctxq1tqvaCgkFb8cCA/edit?usp=sharing"",""มุกดาหาร!M244"")"),171393)</f>
        <v>171393</v>
      </c>
      <c r="O349" s="373">
        <f ca="1">+IF(L349&gt;0,N349*100/L349,0)</f>
        <v>38.434956159038414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IFERROR(__xludf.DUMMYFUNCTION("IMPORTRANGE(""https://docs.google.com/spreadsheets/d/1XL5vhW3sbDhbH9Cz0tuDiY8C3ctxq1tqvaCgkFb8cCA/edit?usp=sharing"",""มุกดาหาร!L247"")"),445930)</f>
        <v>445930</v>
      </c>
      <c r="M352" s="165"/>
      <c r="N352" s="164">
        <f ca="1">IFERROR(__xludf.DUMMYFUNCTION("IMPORTRANGE(""https://docs.google.com/spreadsheets/d/1XL5vhW3sbDhbH9Cz0tuDiY8C3ctxq1tqvaCgkFb8cCA/edit?usp=sharing"",""มุกดาหาร!M247"")"),171393)</f>
        <v>171393</v>
      </c>
      <c r="O352" s="165">
        <f t="shared" ca="1" si="105"/>
        <v>38.434956159038414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IFERROR(__xludf.DUMMYFUNCTION("IMPORTRANGE(""https://docs.google.com/spreadsheets/d/1XL5vhW3sbDhbH9Cz0tuDiY8C3ctxq1tqvaCgkFb8cCA/edit?usp=sharing"",""มุกดาหาร!L249"")"),445930)</f>
        <v>445930</v>
      </c>
      <c r="M354" s="169"/>
      <c r="N354" s="168">
        <f ca="1">IFERROR(__xludf.DUMMYFUNCTION("IMPORTRANGE(""https://docs.google.com/spreadsheets/d/1XL5vhW3sbDhbH9Cz0tuDiY8C3ctxq1tqvaCgkFb8cCA/edit?usp=sharing"",""มุกดาหาร!M249"")"),171393)</f>
        <v>171393</v>
      </c>
      <c r="O354" s="169">
        <f t="shared" ca="1" si="105"/>
        <v>38.434956159038414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IFERROR(__xludf.DUMMYFUNCTION("IMPORTRANGE(""https://docs.google.com/spreadsheets/d/1XL5vhW3sbDhbH9Cz0tuDiY8C3ctxq1tqvaCgkFb8cCA/edit?usp=sharing"",""มุกดาหาร!M250"")"),86520)</f>
        <v>86520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IFERROR(__xludf.DUMMYFUNCTION("IMPORTRANGE(""https://docs.google.com/spreadsheets/d/1XL5vhW3sbDhbH9Cz0tuDiY8C3ctxq1tqvaCgkFb8cCA/edit?usp=sharing"",""มุกดาหาร!M252"")"),64533)</f>
        <v>64533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IFERROR(__xludf.DUMMYFUNCTION("IMPORTRANGE(""https://docs.google.com/spreadsheets/d/1XL5vhW3sbDhbH9Cz0tuDiY8C3ctxq1tqvaCgkFb8cCA/edit?usp=sharing"",""มุกดาหาร!M253"")"),20340)</f>
        <v>20340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IFERROR(__xludf.DUMMYFUNCTION("IMPORTRANGE(""https://docs.google.com/spreadsheets/d/1XL5vhW3sbDhbH9Cz0tuDiY8C3ctxq1tqvaCgkFb8cCA/edit?usp=sharing"",""มุกดาหาร!J274"")"),0)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IFERROR(__xludf.DUMMYFUNCTION("IMPORTRANGE(""https://docs.google.com/spreadsheets/d/1XL5vhW3sbDhbH9Cz0tuDiY8C3ctxq1tqvaCgkFb8cCA/edit?usp=sharing"",""มุกดาหาร!M275"")"),252183)</f>
        <v>252183</v>
      </c>
      <c r="O380" s="373">
        <f ca="1">+IF(L380&gt;0,N380*100/L380,0)</f>
        <v>24.519017617547544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IFERROR(__xludf.DUMMYFUNCTION("IMPORTRANGE(""https://docs.google.com/spreadsheets/d/1XL5vhW3sbDhbH9Cz0tuDiY8C3ctxq1tqvaCgkFb8cCA/edit?usp=sharing"",""มุกดาหาร!M278"")"),252183)</f>
        <v>252183</v>
      </c>
      <c r="O383" s="165">
        <f t="shared" ca="1" si="109"/>
        <v>24.519017617547544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IFERROR(__xludf.DUMMYFUNCTION("IMPORTRANGE(""https://docs.google.com/spreadsheets/d/1XL5vhW3sbDhbH9Cz0tuDiY8C3ctxq1tqvaCgkFb8cCA/edit?usp=sharing"",""มุกดาหาร!M280"")"),252183)</f>
        <v>252183</v>
      </c>
      <c r="O385" s="169">
        <f t="shared" ca="1" si="109"/>
        <v>24.519017617547544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IFERROR(__xludf.DUMMYFUNCTION("IMPORTRANGE(""https://docs.google.com/spreadsheets/d/1XL5vhW3sbDhbH9Cz0tuDiY8C3ctxq1tqvaCgkFb8cCA/edit?usp=sharing"",""มุกดาหาร!M281"")"),169630)</f>
        <v>169630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IFERROR(__xludf.DUMMYFUNCTION("IMPORTRANGE(""https://docs.google.com/spreadsheets/d/1XL5vhW3sbDhbH9Cz0tuDiY8C3ctxq1tqvaCgkFb8cCA/edit?usp=sharing"",""มุกดาหาร!M283"")"),64533)</f>
        <v>64533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IFERROR(__xludf.DUMMYFUNCTION("IMPORTRANGE(""https://docs.google.com/spreadsheets/d/1XL5vhW3sbDhbH9Cz0tuDiY8C3ctxq1tqvaCgkFb8cCA/edit?usp=sharing"",""มุกดาหาร!M284"")"),18020)</f>
        <v>18020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IFERROR(__xludf.DUMMYFUNCTION("IMPORTRANGE(""https://docs.google.com/spreadsheets/d/1XL5vhW3sbDhbH9Cz0tuDiY8C3ctxq1tqvaCgkFb8cCA/edit?usp=sharing"",""มุกดาหาร!J295"")"),0)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IFERROR(__xludf.DUMMYFUNCTION("IMPORTRANGE(""https://docs.google.com/spreadsheets/d/1XL5vhW3sbDhbH9Cz0tuDiY8C3ctxq1tqvaCgkFb8cCA/edit?usp=sharing"",""มุกดาหาร!M296"")"),86053)</f>
        <v>86053</v>
      </c>
      <c r="O401" s="373">
        <f ca="1">+IF(L401&gt;0,N401*100/L401,0)</f>
        <v>53.799937480462646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IFERROR(__xludf.DUMMYFUNCTION("IMPORTRANGE(""https://docs.google.com/spreadsheets/d/1XL5vhW3sbDhbH9Cz0tuDiY8C3ctxq1tqvaCgkFb8cCA/edit?usp=sharing"",""มุกดาหาร!M299"")"),86053)</f>
        <v>86053</v>
      </c>
      <c r="O404" s="169">
        <f t="shared" ca="1" si="112"/>
        <v>53.799937480462646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IFERROR(__xludf.DUMMYFUNCTION("IMPORTRANGE(""https://docs.google.com/spreadsheets/d/1XL5vhW3sbDhbH9Cz0tuDiY8C3ctxq1tqvaCgkFb8cCA/edit?usp=sharing"",""มุกดาหาร!M301"")"),86053)</f>
        <v>86053</v>
      </c>
      <c r="O406" s="169">
        <f t="shared" ca="1" si="112"/>
        <v>53.799937480462646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IFERROR(__xludf.DUMMYFUNCTION("IMPORTRANGE(""https://docs.google.com/spreadsheets/d/1XL5vhW3sbDhbH9Cz0tuDiY8C3ctxq1tqvaCgkFb8cCA/edit?usp=sharing"",""มุกดาหาร!M302"")"),86053)</f>
        <v>86053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IFERROR(__xludf.DUMMYFUNCTION("IMPORTRANGE(""https://docs.google.com/spreadsheets/d/1XL5vhW3sbDhbH9Cz0tuDiY8C3ctxq1tqvaCgkFb8cCA/edit?usp=sharing"",""มุกดาหาร!J329"")"),0)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IFERROR(__xludf.DUMMYFUNCTION("IMPORTRANGE(""https://docs.google.com/spreadsheets/d/1XL5vhW3sbDhbH9Cz0tuDiY8C3ctxq1tqvaCgkFb8cCA/edit?usp=sharing"",""มุกดาหาร!M330"")"),101340)</f>
        <v>101340</v>
      </c>
      <c r="O435" s="412">
        <f t="shared" ref="O435:O439" ca="1" si="114">+IF(L435&gt;0,N435*100/L435,0)</f>
        <v>72.906474820143885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IFERROR(__xludf.DUMMYFUNCTION("IMPORTRANGE(""https://docs.google.com/spreadsheets/d/1XL5vhW3sbDhbH9Cz0tuDiY8C3ctxq1tqvaCgkFb8cCA/edit?usp=sharing"",""มุกดาหาร!M332"")"),101340)</f>
        <v>101340</v>
      </c>
      <c r="O437" s="169">
        <f t="shared" ca="1" si="114"/>
        <v>72.906474820143885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IFERROR(__xludf.DUMMYFUNCTION("IMPORTRANGE(""https://docs.google.com/spreadsheets/d/1XL5vhW3sbDhbH9Cz0tuDiY8C3ctxq1tqvaCgkFb8cCA/edit?usp=sharing"",""มุกดาหาร!M334"")"),101340)</f>
        <v>101340</v>
      </c>
      <c r="O439" s="169">
        <f t="shared" ca="1" si="114"/>
        <v>72.906474820143885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IFERROR(__xludf.DUMMYFUNCTION("IMPORTRANGE(""https://docs.google.com/spreadsheets/d/1XL5vhW3sbDhbH9Cz0tuDiY8C3ctxq1tqvaCgkFb8cCA/edit?usp=sharing"",""มุกดาหาร!M335"")"),60650)</f>
        <v>60650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IFERROR(__xludf.DUMMYFUNCTION("IMPORTRANGE(""https://docs.google.com/spreadsheets/d/1XL5vhW3sbDhbH9Cz0tuDiY8C3ctxq1tqvaCgkFb8cCA/edit?usp=sharing"",""มุกดาหาร!M338"")"),40690)</f>
        <v>40690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IFERROR(__xludf.DUMMYFUNCTION("IMPORTRANGE(""https://docs.google.com/spreadsheets/d/1XL5vhW3sbDhbH9Cz0tuDiY8C3ctxq1tqvaCgkFb8cCA/edit?usp=sharing"",""มุกดาหาร!J349"")"),0)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IFERROR(__xludf.DUMMYFUNCTION("IMPORTRANGE(""https://docs.google.com/spreadsheets/d/1XL5vhW3sbDhbH9Cz0tuDiY8C3ctxq1tqvaCgkFb8cCA/edit?usp=sharing"",""มุกดาหาร!L350"")"),443218)</f>
        <v>443218</v>
      </c>
      <c r="M455" s="373"/>
      <c r="N455" s="373">
        <f ca="1">IFERROR(__xludf.DUMMYFUNCTION("IMPORTRANGE(""https://docs.google.com/spreadsheets/d/1XL5vhW3sbDhbH9Cz0tuDiY8C3ctxq1tqvaCgkFb8cCA/edit?usp=sharing"",""มุกดาหาร!M350"")"),172571)</f>
        <v>172571</v>
      </c>
      <c r="O455" s="373">
        <f t="shared" ref="O455:O459" ca="1" si="116">+IF(L455&gt;0,N455*100/L455,0)</f>
        <v>38.935918667563143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IFERROR(__xludf.DUMMYFUNCTION("IMPORTRANGE(""https://docs.google.com/spreadsheets/d/1XL5vhW3sbDhbH9Cz0tuDiY8C3ctxq1tqvaCgkFb8cCA/edit?usp=sharing"",""มุกดาหาร!L352"")"),443218)</f>
        <v>443218</v>
      </c>
      <c r="M457" s="165"/>
      <c r="N457" s="169">
        <f ca="1">IFERROR(__xludf.DUMMYFUNCTION("IMPORTRANGE(""https://docs.google.com/spreadsheets/d/1XL5vhW3sbDhbH9Cz0tuDiY8C3ctxq1tqvaCgkFb8cCA/edit?usp=sharing"",""มุกดาหาร!M352"")"),172571)</f>
        <v>172571</v>
      </c>
      <c r="O457" s="169">
        <f t="shared" ca="1" si="116"/>
        <v>38.935918667563143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IFERROR(__xludf.DUMMYFUNCTION("IMPORTRANGE(""https://docs.google.com/spreadsheets/d/1XL5vhW3sbDhbH9Cz0tuDiY8C3ctxq1tqvaCgkFb8cCA/edit?usp=sharing"",""มุกดาหาร!L354"")"),443218)</f>
        <v>443218</v>
      </c>
      <c r="M459" s="169"/>
      <c r="N459" s="169">
        <f ca="1">IFERROR(__xludf.DUMMYFUNCTION("IMPORTRANGE(""https://docs.google.com/spreadsheets/d/1XL5vhW3sbDhbH9Cz0tuDiY8C3ctxq1tqvaCgkFb8cCA/edit?usp=sharing"",""มุกดาหาร!M354"")"),172571)</f>
        <v>172571</v>
      </c>
      <c r="O459" s="169">
        <f t="shared" ca="1" si="116"/>
        <v>38.935918667563143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IFERROR(__xludf.DUMMYFUNCTION("IMPORTRANGE(""https://docs.google.com/spreadsheets/d/1XL5vhW3sbDhbH9Cz0tuDiY8C3ctxq1tqvaCgkFb8cCA/edit?usp=sharing"",""มุกดาหาร!M357"")"),63800)</f>
        <v>63800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IFERROR(__xludf.DUMMYFUNCTION("IMPORTRANGE(""https://docs.google.com/spreadsheets/d/1XL5vhW3sbDhbH9Cz0tuDiY8C3ctxq1tqvaCgkFb8cCA/edit?usp=sharing"",""มุกดาหาร!M358"")"),108771)</f>
        <v>108771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IFERROR(__xludf.DUMMYFUNCTION("IMPORTRANGE(""https://docs.google.com/spreadsheets/d/1XL5vhW3sbDhbH9Cz0tuDiY8C3ctxq1tqvaCgkFb8cCA/edit?usp=sharing"",""มุกดาหาร!I359"")"),38745)</f>
        <v>38745</v>
      </c>
      <c r="J464" s="267">
        <f ca="1">IFERROR(__xludf.DUMMYFUNCTION("IMPORTRANGE(""https://docs.google.com/spreadsheets/d/1XL5vhW3sbDhbH9Cz0tuDiY8C3ctxq1tqvaCgkFb8cCA/edit?usp=sharing"",""มุกดาหาร!J359"")"),0)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IFERROR(__xludf.DUMMYFUNCTION("IMPORTRANGE(""https://docs.google.com/spreadsheets/d/1XL5vhW3sbDhbH9Cz0tuDiY8C3ctxq1tqvaCgkFb8cCA/edit?usp=sharing"",""มุกดาหาร!J368"")"),38744.18)</f>
        <v>38744.18</v>
      </c>
      <c r="K473" s="202">
        <f t="shared" ca="1" si="117"/>
        <v>99.9978835978836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IFERROR(__xludf.DUMMYFUNCTION("IMPORTRANGE(""https://docs.google.com/spreadsheets/d/1XL5vhW3sbDhbH9Cz0tuDiY8C3ctxq1tqvaCgkFb8cCA/edit?usp=sharing"",""มุกดาหาร!J370"")"),33988.35)</f>
        <v>33988.35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IFERROR(__xludf.DUMMYFUNCTION("IMPORTRANGE(""https://docs.google.com/spreadsheets/d/1XL5vhW3sbDhbH9Cz0tuDiY8C3ctxq1tqvaCgkFb8cCA/edit?usp=sharing"",""มุกดาหาร!J371"")"),4287)</f>
        <v>4287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IFERROR(__xludf.DUMMYFUNCTION("IMPORTRANGE(""https://docs.google.com/spreadsheets/d/1XL5vhW3sbDhbH9Cz0tuDiY8C3ctxq1tqvaCgkFb8cCA/edit?usp=sharing"",""มุกดาหาร!J372"")"),3727.83)</f>
        <v>3727.83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IFERROR(__xludf.DUMMYFUNCTION("IMPORTRANGE(""https://docs.google.com/spreadsheets/d/1XL5vhW3sbDhbH9Cz0tuDiY8C3ctxq1tqvaCgkFb8cCA/edit?usp=sharing"",""มุกดาหาร!J373"")"),314)</f>
        <v>314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IFERROR(__xludf.DUMMYFUNCTION("IMPORTRANGE(""https://docs.google.com/spreadsheets/d/1XL5vhW3sbDhbH9Cz0tuDiY8C3ctxq1tqvaCgkFb8cCA/edit?usp=sharing"",""มุกดาหาร!J392"")"),391.58)</f>
        <v>391.58</v>
      </c>
      <c r="K497" s="444">
        <f t="shared" ca="1" si="117"/>
        <v>17.182097411145239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IFERROR(__xludf.DUMMYFUNCTION("IMPORTRANGE(""https://docs.google.com/spreadsheets/d/1XL5vhW3sbDhbH9Cz0tuDiY8C3ctxq1tqvaCgkFb8cCA/edit?usp=sharing"",""มุกดาหาร!J393"")"),391.58)</f>
        <v>391.58</v>
      </c>
      <c r="K498" s="202">
        <f t="shared" ca="1" si="117"/>
        <v>17.182097411145239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IFERROR(__xludf.DUMMYFUNCTION("IMPORTRANGE(""https://docs.google.com/spreadsheets/d/1XL5vhW3sbDhbH9Cz0tuDiY8C3ctxq1tqvaCgkFb8cCA/edit?usp=sharing"",""มุกดาหาร!J394"")"),34)</f>
        <v>34</v>
      </c>
      <c r="K499" s="202">
        <f t="shared" ca="1" si="117"/>
        <v>18.085106382978722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IFERROR(__xludf.DUMMYFUNCTION("IMPORTRANGE(""https://docs.google.com/spreadsheets/d/1XL5vhW3sbDhbH9Cz0tuDiY8C3ctxq1tqvaCgkFb8cCA/edit?usp=sharing"",""มุกดาหาร!J395"")"),325.83)</f>
        <v>325.83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IFERROR(__xludf.DUMMYFUNCTION("IMPORTRANGE(""https://docs.google.com/spreadsheets/d/1XL5vhW3sbDhbH9Cz0tuDiY8C3ctxq1tqvaCgkFb8cCA/edit?usp=sharing"",""มุกดาหาร!J396"")"),32)</f>
        <v>32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IFERROR(__xludf.DUMMYFUNCTION("IMPORTRANGE(""https://docs.google.com/spreadsheets/d/1XL5vhW3sbDhbH9Cz0tuDiY8C3ctxq1tqvaCgkFb8cCA/edit?usp=sharing"",""มุกดาหาร!J397"")"),182.08)</f>
        <v>182.08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IFERROR(__xludf.DUMMYFUNCTION("IMPORTRANGE(""https://docs.google.com/spreadsheets/d/1XL5vhW3sbDhbH9Cz0tuDiY8C3ctxq1tqvaCgkFb8cCA/edit?usp=sharing"",""มุกดาหาร!J398"")"),13)</f>
        <v>13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IFERROR(__xludf.DUMMYFUNCTION("IMPORTRANGE(""https://docs.google.com/spreadsheets/d/1XL5vhW3sbDhbH9Cz0tuDiY8C3ctxq1tqvaCgkFb8cCA/edit?usp=sharing"",""มุกดาหาร!J399"")"),143.75)</f>
        <v>143.75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IFERROR(__xludf.DUMMYFUNCTION("IMPORTRANGE(""https://docs.google.com/spreadsheets/d/1XL5vhW3sbDhbH9Cz0tuDiY8C3ctxq1tqvaCgkFb8cCA/edit?usp=sharing"",""มุกดาหาร!J400"")"),19)</f>
        <v>19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IFERROR(__xludf.DUMMYFUNCTION("IMPORTRANGE(""https://docs.google.com/spreadsheets/d/1XL5vhW3sbDhbH9Cz0tuDiY8C3ctxq1tqvaCgkFb8cCA/edit?usp=sharing"",""มุกดาหาร!J403"")"),65.75)</f>
        <v>65.75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IFERROR(__xludf.DUMMYFUNCTION("IMPORTRANGE(""https://docs.google.com/spreadsheets/d/1XL5vhW3sbDhbH9Cz0tuDiY8C3ctxq1tqvaCgkFb8cCA/edit?usp=sharing"",""มุกดาหาร!J405"")"),65.75)</f>
        <v>65.75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IFERROR(__xludf.DUMMYFUNCTION("IMPORTRANGE(""https://docs.google.com/spreadsheets/d/1XL5vhW3sbDhbH9Cz0tuDiY8C3ctxq1tqvaCgkFb8cCA/edit?usp=sharing"",""มุกดาหาร!I411"")"),0)</f>
        <v>0</v>
      </c>
      <c r="J516" s="267">
        <f ca="1">IFERROR(__xludf.DUMMYFUNCTION("IMPORTRANGE(""https://docs.google.com/spreadsheets/d/1XL5vhW3sbDhbH9Cz0tuDiY8C3ctxq1tqvaCgkFb8cCA/edit?usp=sharing"",""มุกดาหาร!J411"")"),0)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IFERROR(__xludf.DUMMYFUNCTION("IMPORTRANGE(""https://docs.google.com/spreadsheets/d/1XL5vhW3sbDhbH9Cz0tuDiY8C3ctxq1tqvaCgkFb8cCA/edit?usp=sharing"",""มุกดาหาร!I412"")"),0)</f>
        <v>0</v>
      </c>
      <c r="J517" s="284">
        <f ca="1">IFERROR(__xludf.DUMMYFUNCTION("IMPORTRANGE(""https://docs.google.com/spreadsheets/d/1XL5vhW3sbDhbH9Cz0tuDiY8C3ctxq1tqvaCgkFb8cCA/edit?usp=sharing"",""มุกดาหาร!J412"")"),0)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IFERROR(__xludf.DUMMYFUNCTION("IMPORTRANGE(""https://docs.google.com/spreadsheets/d/1XL5vhW3sbDhbH9Cz0tuDiY8C3ctxq1tqvaCgkFb8cCA/edit?usp=sharing"",""มุกดาหาร!I413"")"),0)</f>
        <v>0</v>
      </c>
      <c r="J518" s="284">
        <f ca="1">IFERROR(__xludf.DUMMYFUNCTION("IMPORTRANGE(""https://docs.google.com/spreadsheets/d/1XL5vhW3sbDhbH9Cz0tuDiY8C3ctxq1tqvaCgkFb8cCA/edit?usp=sharing"",""มุกดาหาร!J413"")"),0)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IFERROR(__xludf.DUMMYFUNCTION("IMPORTRANGE(""https://docs.google.com/spreadsheets/d/1XL5vhW3sbDhbH9Cz0tuDiY8C3ctxq1tqvaCgkFb8cCA/edit?usp=sharing"",""มุกดาหาร!I420"")"),0)</f>
        <v>0</v>
      </c>
      <c r="J525" s="284">
        <f ca="1">IFERROR(__xludf.DUMMYFUNCTION("IMPORTRANGE(""https://docs.google.com/spreadsheets/d/1XL5vhW3sbDhbH9Cz0tuDiY8C3ctxq1tqvaCgkFb8cCA/edit?usp=sharing"",""มุกดาหาร!J420"")"),0)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IFERROR(__xludf.DUMMYFUNCTION("IMPORTRANGE(""https://docs.google.com/spreadsheets/d/1XL5vhW3sbDhbH9Cz0tuDiY8C3ctxq1tqvaCgkFb8cCA/edit?usp=sharing"",""มุกดาหาร!I421"")"),0)</f>
        <v>0</v>
      </c>
      <c r="J526" s="284">
        <f ca="1">IFERROR(__xludf.DUMMYFUNCTION("IMPORTRANGE(""https://docs.google.com/spreadsheets/d/1XL5vhW3sbDhbH9Cz0tuDiY8C3ctxq1tqvaCgkFb8cCA/edit?usp=sharing"",""มุกดาหาร!J421"")"),0)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IFERROR(__xludf.DUMMYFUNCTION("IMPORTRANGE(""https://docs.google.com/spreadsheets/d/1XL5vhW3sbDhbH9Cz0tuDiY8C3ctxq1tqvaCgkFb8cCA/edit?usp=sharing"",""มุกดาหาร!M433"")"),18420)</f>
        <v>18420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IFERROR(__xludf.DUMMYFUNCTION("IMPORTRANGE(""https://docs.google.com/spreadsheets/d/1XL5vhW3sbDhbH9Cz0tuDiY8C3ctxq1tqvaCgkFb8cCA/edit?usp=sharing"",""มุกดาหาร!M436"")"),15920)</f>
        <v>15920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IFERROR(__xludf.DUMMYFUNCTION("IMPORTRANGE(""https://docs.google.com/spreadsheets/d/1XL5vhW3sbDhbH9Cz0tuDiY8C3ctxq1tqvaCgkFb8cCA/edit?usp=sharing"",""มุกดาหาร!J459"")"),2073)</f>
        <v>2073</v>
      </c>
      <c r="K564" s="372">
        <f ca="1">IF(I564&gt;0,J564*100/I564,0)</f>
        <v>115.16666666666667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IFERROR(__xludf.DUMMYFUNCTION("IMPORTRANGE(""https://docs.google.com/spreadsheets/d/1XL5vhW3sbDhbH9Cz0tuDiY8C3ctxq1tqvaCgkFb8cCA/edit?usp=sharing"",""มุกดาหาร!M459"")"),90179.3)</f>
        <v>90179.3</v>
      </c>
      <c r="O564" s="373">
        <f t="shared" ref="O564:O568" ca="1" si="122">+IF(L564&gt;0,N564*100/L564,0)</f>
        <v>66.075102579132476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IFERROR(__xludf.DUMMYFUNCTION("IMPORTRANGE(""https://docs.google.com/spreadsheets/d/1XL5vhW3sbDhbH9Cz0tuDiY8C3ctxq1tqvaCgkFb8cCA/edit?usp=sharing"",""มุกดาหาร!M461"")"),90179.3)</f>
        <v>90179.3</v>
      </c>
      <c r="O566" s="169">
        <f t="shared" ca="1" si="122"/>
        <v>66.075102579132476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IFERROR(__xludf.DUMMYFUNCTION("IMPORTRANGE(""https://docs.google.com/spreadsheets/d/1XL5vhW3sbDhbH9Cz0tuDiY8C3ctxq1tqvaCgkFb8cCA/edit?usp=sharing"",""มุกดาหาร!M463"")"),90179.3)</f>
        <v>90179.3</v>
      </c>
      <c r="O568" s="169">
        <f t="shared" ca="1" si="122"/>
        <v>66.075102579132476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IFERROR(__xludf.DUMMYFUNCTION("IMPORTRANGE(""https://docs.google.com/spreadsheets/d/1XL5vhW3sbDhbH9Cz0tuDiY8C3ctxq1tqvaCgkFb8cCA/edit?usp=sharing"",""มุกดาหาร!M466"")"),60133)</f>
        <v>60133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IFERROR(__xludf.DUMMYFUNCTION("IMPORTRANGE(""https://docs.google.com/spreadsheets/d/1XL5vhW3sbDhbH9Cz0tuDiY8C3ctxq1tqvaCgkFb8cCA/edit?usp=sharing"",""มุกดาหาร!M467"")"),30046.3)</f>
        <v>30046.3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IFERROR(__xludf.DUMMYFUNCTION("IMPORTRANGE(""https://docs.google.com/spreadsheets/d/1XL5vhW3sbDhbH9Cz0tuDiY8C3ctxq1tqvaCgkFb8cCA/edit?usp=sharing"",""มุกดาหาร!J468"")"),2073)</f>
        <v>2073</v>
      </c>
      <c r="K573" s="202">
        <f ca="1">IF(I573&gt;0,J573*100/I573,0)</f>
        <v>115.16666666666667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IFERROR(__xludf.DUMMYFUNCTION("IMPORTRANGE(""https://docs.google.com/spreadsheets/d/1XL5vhW3sbDhbH9Cz0tuDiY8C3ctxq1tqvaCgkFb8cCA/edit?usp=sharing"",""มุกดาหาร!J471"")"),391)</f>
        <v>391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IFERROR(__xludf.DUMMYFUNCTION("IMPORTRANGE(""https://docs.google.com/spreadsheets/d/1XL5vhW3sbDhbH9Cz0tuDiY8C3ctxq1tqvaCgkFb8cCA/edit?usp=sharing"",""มุกดาหาร!J472"")"),1682)</f>
        <v>1682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IFERROR(__xludf.DUMMYFUNCTION("IMPORTRANGE(""https://docs.google.com/spreadsheets/d/1XL5vhW3sbDhbH9Cz0tuDiY8C3ctxq1tqvaCgkFb8cCA/edit?usp=sharing"",""มุกดาหาร!M475"")"),106415)</f>
        <v>106415</v>
      </c>
      <c r="O580" s="373">
        <f t="shared" ref="O580:O584" ca="1" si="124">+IF(L580&gt;0,N580*100/L580,0)</f>
        <v>79.154269562630176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IFERROR(__xludf.DUMMYFUNCTION("IMPORTRANGE(""https://docs.google.com/spreadsheets/d/1XL5vhW3sbDhbH9Cz0tuDiY8C3ctxq1tqvaCgkFb8cCA/edit?usp=sharing"",""มุกดาหาร!M477"")"),106415)</f>
        <v>106415</v>
      </c>
      <c r="O582" s="169">
        <f t="shared" ca="1" si="124"/>
        <v>79.154269562630176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IFERROR(__xludf.DUMMYFUNCTION("IMPORTRANGE(""https://docs.google.com/spreadsheets/d/1XL5vhW3sbDhbH9Cz0tuDiY8C3ctxq1tqvaCgkFb8cCA/edit?usp=sharing"",""มุกดาหาร!M479"")"),106415)</f>
        <v>106415</v>
      </c>
      <c r="O584" s="169">
        <f t="shared" ca="1" si="124"/>
        <v>79.154269562630176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IFERROR(__xludf.DUMMYFUNCTION("IMPORTRANGE(""https://docs.google.com/spreadsheets/d/1XL5vhW3sbDhbH9Cz0tuDiY8C3ctxq1tqvaCgkFb8cCA/edit?usp=sharing"",""มุกดาหาร!M483"")"),106415)</f>
        <v>106415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IFERROR(__xludf.DUMMYFUNCTION("IMPORTRANGE(""https://docs.google.com/spreadsheets/d/1XL5vhW3sbDhbH9Cz0tuDiY8C3ctxq1tqvaCgkFb8cCA/edit?usp=sharing"",""มุกดาหาร!J486"")"),41)</f>
        <v>41</v>
      </c>
      <c r="K591" s="163">
        <f t="shared" ca="1" si="125"/>
        <v>102.5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IFERROR(__xludf.DUMMYFUNCTION("IMPORTRANGE(""https://docs.google.com/spreadsheets/d/1XL5vhW3sbDhbH9Cz0tuDiY8C3ctxq1tqvaCgkFb8cCA/edit?usp=sharing"",""มุกดาหาร!J487"")"),33.12)</f>
        <v>33.119999999999997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IFERROR(__xludf.DUMMYFUNCTION("IMPORTRANGE(""https://docs.google.com/spreadsheets/d/1XL5vhW3sbDhbH9Cz0tuDiY8C3ctxq1tqvaCgkFb8cCA/edit?usp=sharing"",""มุกดาหาร!J488"")"),16)</f>
        <v>16</v>
      </c>
      <c r="K593" s="163">
        <f t="shared" ca="1" si="125"/>
        <v>40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IFERROR(__xludf.DUMMYFUNCTION("IMPORTRANGE(""https://docs.google.com/spreadsheets/d/1XL5vhW3sbDhbH9Cz0tuDiY8C3ctxq1tqvaCgkFb8cCA/edit?usp=sharing"",""มุกดาหาร!J489"")"),9.4)</f>
        <v>9.4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IFERROR(__xludf.DUMMYFUNCTION("IMPORTRANGE(""https://docs.google.com/spreadsheets/d/1XL5vhW3sbDhbH9Cz0tuDiY8C3ctxq1tqvaCgkFb8cCA/edit?usp=sharing"",""มุกดาหาร!I491"")"),0)</f>
        <v>0</v>
      </c>
      <c r="J596" s="241">
        <f ca="1">IFERROR(__xludf.DUMMYFUNCTION("IMPORTRANGE(""https://docs.google.com/spreadsheets/d/1XL5vhW3sbDhbH9Cz0tuDiY8C3ctxq1tqvaCgkFb8cCA/edit?usp=sharing"",""มุกดาหาร!J491"")"),0)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7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IFERROR(__xludf.DUMMYFUNCTION("IMPORTRANGE(""https://docs.google.com/spreadsheets/d/1XL5vhW3sbDhbH9Cz0tuDiY8C3ctxq1tqvaCgkFb8cCA/edit?usp=sharing"",""มุกดาหาร!L492"")"),8100)</f>
        <v>8100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9.8765432098765427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IFERROR(__xludf.DUMMYFUNCTION("IMPORTRANGE(""https://docs.google.com/spreadsheets/d/1XL5vhW3sbDhbH9Cz0tuDiY8C3ctxq1tqvaCgkFb8cCA/edit?usp=sharing"",""มุกดาหาร!L494"")"),8100)</f>
        <v>8100</v>
      </c>
      <c r="M599" s="165"/>
      <c r="N599" s="169">
        <f ca="1">IFERROR(__xludf.DUMMYFUNCTION("IMPORTRANGE(""https://docs.google.com/spreadsheets/d/1XL5vhW3sbDhbH9Cz0tuDiY8C3ctxq1tqvaCgkFb8cCA/edit?usp=sharing"",""มุกดาหาร!M494"")"),800)</f>
        <v>800</v>
      </c>
      <c r="O599" s="169">
        <f t="shared" ca="1" si="126"/>
        <v>9.8765432098765427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IFERROR(__xludf.DUMMYFUNCTION("IMPORTRANGE(""https://docs.google.com/spreadsheets/d/1XL5vhW3sbDhbH9Cz0tuDiY8C3ctxq1tqvaCgkFb8cCA/edit?usp=sharing"",""มุกดาหาร!L496"")"),8100)</f>
        <v>8100</v>
      </c>
      <c r="M601" s="169"/>
      <c r="N601" s="169">
        <f ca="1">IFERROR(__xludf.DUMMYFUNCTION("IMPORTRANGE(""https://docs.google.com/spreadsheets/d/1XL5vhW3sbDhbH9Cz0tuDiY8C3ctxq1tqvaCgkFb8cCA/edit?usp=sharing"",""มุกดาหาร!M496"")"),800)</f>
        <v>800</v>
      </c>
      <c r="O601" s="169">
        <f t="shared" ca="1" si="126"/>
        <v>9.8765432098765427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IFERROR(__xludf.DUMMYFUNCTION("IMPORTRANGE(""https://docs.google.com/spreadsheets/d/1XL5vhW3sbDhbH9Cz0tuDiY8C3ctxq1tqvaCgkFb8cCA/edit?usp=sharing"",""มุกดาหาร!J166"")"),0)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IFERROR(__xludf.DUMMYFUNCTION("IMPORTRANGE(""https://docs.google.com/spreadsheets/d/1XL5vhW3sbDhbH9Cz0tuDiY8C3ctxq1tqvaCgkFb8cCA/edit?usp=sharing"",""มุกดาหาร!J166"")"),0)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1">
        <f ca="1">IFERROR(__xludf.DUMMYFUNCTION("IMPORTRANGE(""https://docs.google.com/spreadsheets/d/1XL5vhW3sbDhbH9Cz0tuDiY8C3ctxq1tqvaCgkFb8cCA/edit?usp=sharing"",""มุกดาหาร!J523"")"),3840990.54)</f>
        <v>3840990.54</v>
      </c>
      <c r="K628" s="342">
        <f t="shared" ref="K628:K635" ca="1" si="129">IF(I628&gt;0,J628*100/I628,0)</f>
        <v>71.855148060637873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IFERROR(__xludf.DUMMYFUNCTION("IMPORTRANGE(""https://docs.google.com/spreadsheets/d/1XL5vhW3sbDhbH9Cz0tuDiY8C3ctxq1tqvaCgkFb8cCA/edit?usp=sharing"",""มุกดาหาร!I524"")"),488)</f>
        <v>488</v>
      </c>
      <c r="J629" s="341">
        <f ca="1">IFERROR(__xludf.DUMMYFUNCTION("IMPORTRANGE(""https://docs.google.com/spreadsheets/d/1XL5vhW3sbDhbH9Cz0tuDiY8C3ctxq1tqvaCgkFb8cCA/edit?usp=sharing"",""มุกดาหาร!J524"")"),351)</f>
        <v>351</v>
      </c>
      <c r="K629" s="342">
        <f t="shared" ca="1" si="129"/>
        <v>71.926229508196727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1">
        <f ca="1">IFERROR(__xludf.DUMMYFUNCTION("IMPORTRANGE(""https://docs.google.com/spreadsheets/d/1XL5vhW3sbDhbH9Cz0tuDiY8C3ctxq1tqvaCgkFb8cCA/edit?usp=sharing"",""มุกดาหาร!J525"")"),320949.27)</f>
        <v>320949.27</v>
      </c>
      <c r="K630" s="342">
        <f t="shared" ca="1" si="129"/>
        <v>8.7635648899986354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IFERROR(__xludf.DUMMYFUNCTION("IMPORTRANGE(""https://docs.google.com/spreadsheets/d/1XL5vhW3sbDhbH9Cz0tuDiY8C3ctxq1tqvaCgkFb8cCA/edit?usp=sharing"",""มุกดาหาร!I526"")"),225)</f>
        <v>225</v>
      </c>
      <c r="J631" s="341">
        <f ca="1">IFERROR(__xludf.DUMMYFUNCTION("IMPORTRANGE(""https://docs.google.com/spreadsheets/d/1XL5vhW3sbDhbH9Cz0tuDiY8C3ctxq1tqvaCgkFb8cCA/edit?usp=sharing"",""มุกดาหาร!J526"")"),49)</f>
        <v>49</v>
      </c>
      <c r="K631" s="342">
        <f t="shared" ca="1" si="129"/>
        <v>21.777777777777779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IFERROR(__xludf.DUMMYFUNCTION("IMPORTRANGE(""https://docs.google.com/spreadsheets/d/1XL5vhW3sbDhbH9Cz0tuDiY8C3ctxq1tqvaCgkFb8cCA/edit?usp=sharing"",""มุกดาหาร!I527"")"),0)</f>
        <v>0</v>
      </c>
      <c r="J632" s="341">
        <f ca="1">IFERROR(__xludf.DUMMYFUNCTION("IMPORTRANGE(""https://docs.google.com/spreadsheets/d/1XL5vhW3sbDhbH9Cz0tuDiY8C3ctxq1tqvaCgkFb8cCA/edit?usp=sharing"",""มุกดาหาร!J527"")"),26013.5)</f>
        <v>26013.5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IFERROR(__xludf.DUMMYFUNCTION("IMPORTRANGE(""https://docs.google.com/spreadsheets/d/1XL5vhW3sbDhbH9Cz0tuDiY8C3ctxq1tqvaCgkFb8cCA/edit?usp=sharing"",""มุกดาหาร!I528"")"),0)</f>
        <v>0</v>
      </c>
      <c r="J633" s="341">
        <f ca="1">IFERROR(__xludf.DUMMYFUNCTION("IMPORTRANGE(""https://docs.google.com/spreadsheets/d/1XL5vhW3sbDhbH9Cz0tuDiY8C3ctxq1tqvaCgkFb8cCA/edit?usp=sharing"",""มุกดาหาร!J528"")"),4)</f>
        <v>4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IFERROR(__xludf.DUMMYFUNCTION("IMPORTRANGE(""https://docs.google.com/spreadsheets/d/1XL5vhW3sbDhbH9Cz0tuDiY8C3ctxq1tqvaCgkFb8cCA/edit?usp=sharing"",""มุกดาหาร!I529"")"),7050000)</f>
        <v>7050000</v>
      </c>
      <c r="J634" s="341">
        <f ca="1">IFERROR(__xludf.DUMMYFUNCTION("IMPORTRANGE(""https://docs.google.com/spreadsheets/d/1XL5vhW3sbDhbH9Cz0tuDiY8C3ctxq1tqvaCgkFb8cCA/edit?usp=sharing"",""มุกดาหาร!J529"")"),4195000)</f>
        <v>4195000</v>
      </c>
      <c r="K634" s="342">
        <f t="shared" ca="1" si="129"/>
        <v>59.50354609929078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IFERROR(__xludf.DUMMYFUNCTION("IMPORTRANGE(""https://docs.google.com/spreadsheets/d/1XL5vhW3sbDhbH9Cz0tuDiY8C3ctxq1tqvaCgkFb8cCA/edit?usp=sharing"",""มุกดาหาร!I530"")"),165)</f>
        <v>165</v>
      </c>
      <c r="J635" s="504">
        <f ca="1">IFERROR(__xludf.DUMMYFUNCTION("IMPORTRANGE(""https://docs.google.com/spreadsheets/d/1XL5vhW3sbDhbH9Cz0tuDiY8C3ctxq1tqvaCgkFb8cCA/edit?usp=sharing"",""มุกดาหาร!J530"")"),119)</f>
        <v>119</v>
      </c>
      <c r="K635" s="486">
        <f t="shared" ca="1" si="129"/>
        <v>72.121212121212125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IFERROR(__xludf.DUMMYFUNCTION("IMPORTRANGE(""https://docs.google.com/spreadsheets/d/1XL5vhW3sbDhbH9Cz0tuDiY8C3ctxq1tqvaCgkFb8cCA/edit#gid=346597447"",""มุกดาหาร!J541"")"),0)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IFERROR(__xludf.DUMMYFUNCTION("IMPORTRANGE(""https://docs.google.com/spreadsheets/d/1XL5vhW3sbDhbH9Cz0tuDiY8C3ctxq1tqvaCgkFb8cCA/edit#gid=346597447"",""มุกดาหาร!J542"")"),0)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IFERROR(__xludf.DUMMYFUNCTION("IMPORTRANGE(""https://docs.google.com/spreadsheets/d/1XL5vhW3sbDhbH9Cz0tuDiY8C3ctxq1tqvaCgkFb8cCA/edit#gid=346597447"",""มุกดาหาร!I543"")"),0)</f>
        <v>0</v>
      </c>
      <c r="J648" s="585">
        <f ca="1">IFERROR(__xludf.DUMMYFUNCTION("IMPORTRANGE(""https://docs.google.com/spreadsheets/d/1XL5vhW3sbDhbH9Cz0tuDiY8C3ctxq1tqvaCgkFb8cCA/edit#gid=346597447"",""มุกดาหาร!J543"")"),0)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IFERROR(__xludf.DUMMYFUNCTION("IMPORTRANGE(""https://docs.google.com/spreadsheets/d/1XL5vhW3sbDhbH9Cz0tuDiY8C3ctxq1tqvaCgkFb8cCA/edit#gid=346597447"",""มุกดาหาร!L543"")"),0)</f>
        <v>0</v>
      </c>
      <c r="M648" s="570"/>
      <c r="N648" s="587">
        <f ca="1">IFERROR(__xludf.DUMMYFUNCTION("IMPORTRANGE(""https://docs.google.com/spreadsheets/d/1XL5vhW3sbDhbH9Cz0tuDiY8C3ctxq1tqvaCgkFb8cCA/edit#gid=346597447"",""มุกดาหาร!M543"")"),0)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IFERROR(__xludf.DUMMYFUNCTION("IMPORTRANGE(""https://docs.google.com/spreadsheets/d/1XL5vhW3sbDhbH9Cz0tuDiY8C3ctxq1tqvaCgkFb8cCA/edit#gid=346597447"",""มุกดาหาร!I544"")"),0)</f>
        <v>0</v>
      </c>
      <c r="J649" s="585">
        <f ca="1">IFERROR(__xludf.DUMMYFUNCTION("IMPORTRANGE(""https://docs.google.com/spreadsheets/d/1XL5vhW3sbDhbH9Cz0tuDiY8C3ctxq1tqvaCgkFb8cCA/edit#gid=346597447"",""มุกดาหาร!J544"")"),0)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IFERROR(__xludf.DUMMYFUNCTION("IMPORTRANGE(""https://docs.google.com/spreadsheets/d/1XL5vhW3sbDhbH9Cz0tuDiY8C3ctxq1tqvaCgkFb8cCA/edit#gid=346597447"",""มุกดาหาร!L544"")"),0)</f>
        <v>0</v>
      </c>
      <c r="M649" s="570"/>
      <c r="N649" s="587">
        <f ca="1">IFERROR(__xludf.DUMMYFUNCTION("IMPORTRANGE(""https://docs.google.com/spreadsheets/d/1XL5vhW3sbDhbH9Cz0tuDiY8C3ctxq1tqvaCgkFb8cCA/edit#gid=346597447"",""มุกดาหาร!M544"")"),0)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IFERROR(__xludf.DUMMYFUNCTION("IMPORTRANGE(""https://docs.google.com/spreadsheets/d/1XL5vhW3sbDhbH9Cz0tuDiY8C3ctxq1tqvaCgkFb8cCA/edit#gid=346597447"",""มุกดาหาร!I545"")"),0)</f>
        <v>0</v>
      </c>
      <c r="J650" s="585">
        <f ca="1">IFERROR(__xludf.DUMMYFUNCTION("IMPORTRANGE(""https://docs.google.com/spreadsheets/d/1XL5vhW3sbDhbH9Cz0tuDiY8C3ctxq1tqvaCgkFb8cCA/edit#gid=346597447"",""มุกดาหาร!J545"")"),0)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IFERROR(__xludf.DUMMYFUNCTION("IMPORTRANGE(""https://docs.google.com/spreadsheets/d/1XL5vhW3sbDhbH9Cz0tuDiY8C3ctxq1tqvaCgkFb8cCA/edit#gid=346597447"",""มุกดาหาร!L545"")"),0)</f>
        <v>0</v>
      </c>
      <c r="M650" s="570"/>
      <c r="N650" s="587">
        <f ca="1">IFERROR(__xludf.DUMMYFUNCTION("IMPORTRANGE(""https://docs.google.com/spreadsheets/d/1XL5vhW3sbDhbH9Cz0tuDiY8C3ctxq1tqvaCgkFb8cCA/edit#gid=346597447"",""มุกดาหาร!M545"")"),0)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IFERROR(__xludf.DUMMYFUNCTION("IMPORTRANGE(""https://docs.google.com/spreadsheets/d/1XL5vhW3sbDhbH9Cz0tuDiY8C3ctxq1tqvaCgkFb8cCA/edit#gid=346597447"",""มุกดาหาร!I546"")"),0)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IFERROR(__xludf.DUMMYFUNCTION("IMPORTRANGE(""https://docs.google.com/spreadsheets/d/1XL5vhW3sbDhbH9Cz0tuDiY8C3ctxq1tqvaCgkFb8cCA/edit#gid=346597447"",""มุกดาหาร!L546"")"),0)</f>
        <v>0</v>
      </c>
      <c r="M651" s="570"/>
      <c r="N651" s="587">
        <f ca="1">IFERROR(__xludf.DUMMYFUNCTION("IMPORTRANGE(""https://docs.google.com/spreadsheets/d/1XL5vhW3sbDhbH9Cz0tuDiY8C3ctxq1tqvaCgkFb8cCA/edit#gid=346597447"",""มุกดาหาร!M546"")"),0)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IFERROR(__xludf.DUMMYFUNCTION("IMPORTRANGE(""https://docs.google.com/spreadsheets/d/1XL5vhW3sbDhbH9Cz0tuDiY8C3ctxq1tqvaCgkFb8cCA/edit#gid=346597447"",""มุกดาหาร!J547"")"),0)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IFERROR(__xludf.DUMMYFUNCTION("IMPORTRANGE(""https://docs.google.com/spreadsheets/d/1XL5vhW3sbDhbH9Cz0tuDiY8C3ctxq1tqvaCgkFb8cCA/edit#gid=346597447"",""มุกดาหาร!J548"")"),0)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IFERROR(__xludf.DUMMYFUNCTION("IMPORTRANGE(""https://docs.google.com/spreadsheets/d/1XL5vhW3sbDhbH9Cz0tuDiY8C3ctxq1tqvaCgkFb8cCA/edit#gid=346597447"",""มุกดาหาร!J550"")"),0)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IFERROR(__xludf.DUMMYFUNCTION("IMPORTRANGE(""https://docs.google.com/spreadsheets/d/1XL5vhW3sbDhbH9Cz0tuDiY8C3ctxq1tqvaCgkFb8cCA/edit#gid=346597447"",""มุกดาหาร!J551"")"),0)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IFERROR(__xludf.DUMMYFUNCTION("IMPORTRANGE(""https://docs.google.com/spreadsheets/d/1XL5vhW3sbDhbH9Cz0tuDiY8C3ctxq1tqvaCgkFb8cCA/edit#gid=346597447"",""มุกดาหาร!J552"")"),0)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IFERROR(__xludf.DUMMYFUNCTION("IMPORTRANGE(""https://docs.google.com/spreadsheets/d/1XL5vhW3sbDhbH9Cz0tuDiY8C3ctxq1tqvaCgkFb8cCA/edit#gid=346597447"",""มุกดาหาร!J553"")"),0)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IFERROR(__xludf.DUMMYFUNCTION("IMPORTRANGE(""https://docs.google.com/spreadsheets/d/1XL5vhW3sbDhbH9Cz0tuDiY8C3ctxq1tqvaCgkFb8cCA/edit#gid=346597447"",""มุกดาหาร!J554"")"),0)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IFERROR(__xludf.DUMMYFUNCTION("IMPORTRANGE(""https://docs.google.com/spreadsheets/d/1XL5vhW3sbDhbH9Cz0tuDiY8C3ctxq1tqvaCgkFb8cCA/edit#gid=346597447"",""มุกดาหาร!J555"")"),0)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IFERROR(__xludf.DUMMYFUNCTION("IMPORTRANGE(""https://docs.google.com/spreadsheets/d/1XL5vhW3sbDhbH9Cz0tuDiY8C3ctxq1tqvaCgkFb8cCA/edit#gid=346597447"",""มุกดาหาร!J556"")"),0)</f>
        <v>0</v>
      </c>
      <c r="K661" s="586"/>
      <c r="L661" s="571">
        <f ca="1">IFERROR(__xludf.DUMMYFUNCTION("IMPORTRANGE(""https://docs.google.com/spreadsheets/d/1XL5vhW3sbDhbH9Cz0tuDiY8C3ctxq1tqvaCgkFb8cCA/edit#gid=346597447"",""มุกดาหาร!L556"")"),0)</f>
        <v>0</v>
      </c>
      <c r="M661" s="570"/>
      <c r="N661" s="587">
        <f ca="1">IFERROR(__xludf.DUMMYFUNCTION("IMPORTRANGE(""https://docs.google.com/spreadsheets/d/1XL5vhW3sbDhbH9Cz0tuDiY8C3ctxq1tqvaCgkFb8cCA/edit#gid=346597447"",""มุกดาหาร!M556"")"),0)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IFERROR(__xludf.DUMMYFUNCTION("IMPORTRANGE(""https://docs.google.com/spreadsheets/d/1XL5vhW3sbDhbH9Cz0tuDiY8C3ctxq1tqvaCgkFb8cCA/edit#gid=346597447"",""มุกดาหาร!J557"")"),0)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IFERROR(__xludf.DUMMYFUNCTION("IMPORTRANGE(""https://docs.google.com/spreadsheets/d/1XL5vhW3sbDhbH9Cz0tuDiY8C3ctxq1tqvaCgkFb8cCA/edit#gid=346597447"",""มุกดาหาร!I558"")"),0)</f>
        <v>0</v>
      </c>
      <c r="J663" s="585">
        <f ca="1">IFERROR(__xludf.DUMMYFUNCTION("IMPORTRANGE(""https://docs.google.com/spreadsheets/d/1XL5vhW3sbDhbH9Cz0tuDiY8C3ctxq1tqvaCgkFb8cCA/edit#gid=346597447"",""มุกดาหาร!J558"")"),0)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IFERROR(__xludf.DUMMYFUNCTION("IMPORTRANGE(""https://docs.google.com/spreadsheets/d/1XL5vhW3sbDhbH9Cz0tuDiY8C3ctxq1tqvaCgkFb8cCA/edit#gid=346597447"",""มุกดาหาร!I560"")"),0)</f>
        <v>0</v>
      </c>
      <c r="J665" s="585">
        <f ca="1">IFERROR(__xludf.DUMMYFUNCTION("IMPORTRANGE(""https://docs.google.com/spreadsheets/d/1XL5vhW3sbDhbH9Cz0tuDiY8C3ctxq1tqvaCgkFb8cCA/edit#gid=346597447"",""มุกดาหาร!J560"")"),0)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IFERROR(__xludf.DUMMYFUNCTION("IMPORTRANGE(""https://docs.google.com/spreadsheets/d/1XL5vhW3sbDhbH9Cz0tuDiY8C3ctxq1tqvaCgkFb8cCA/edit#gid=346597447"",""มุกดาหาร!L560"")"),0)</f>
        <v>0</v>
      </c>
      <c r="M665" s="570"/>
      <c r="N665" s="587">
        <f ca="1">IFERROR(__xludf.DUMMYFUNCTION("IMPORTRANGE(""https://docs.google.com/spreadsheets/d/1XL5vhW3sbDhbH9Cz0tuDiY8C3ctxq1tqvaCgkFb8cCA/edit#gid=346597447"",""มุกดาหาร!M560"")"),0)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IFERROR(__xludf.DUMMYFUNCTION("IMPORTRANGE(""https://docs.google.com/spreadsheets/d/1XL5vhW3sbDhbH9Cz0tuDiY8C3ctxq1tqvaCgkFb8cCA/edit#gid=346597447"",""มุกดาหาร!J561"")"),0)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IFERROR(__xludf.DUMMYFUNCTION("IMPORTRANGE(""https://docs.google.com/spreadsheets/d/1XL5vhW3sbDhbH9Cz0tuDiY8C3ctxq1tqvaCgkFb8cCA/edit#gid=346597447"",""มุกดาหาร!J562"")"),0)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IFERROR(__xludf.DUMMYFUNCTION("IMPORTRANGE(""https://docs.google.com/spreadsheets/d/1XL5vhW3sbDhbH9Cz0tuDiY8C3ctxq1tqvaCgkFb8cCA/edit#gid=346597447"",""มุกดาหาร!I563"")"),0)</f>
        <v>0</v>
      </c>
      <c r="J668" s="585">
        <f ca="1">IFERROR(__xludf.DUMMYFUNCTION("IMPORTRANGE(""https://docs.google.com/spreadsheets/d/1XL5vhW3sbDhbH9Cz0tuDiY8C3ctxq1tqvaCgkFb8cCA/edit#gid=346597447"",""มุกดาหาร!J563"")"),0)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IFERROR(__xludf.DUMMYFUNCTION("IMPORTRANGE(""https://docs.google.com/spreadsheets/d/1XL5vhW3sbDhbH9Cz0tuDiY8C3ctxq1tqvaCgkFb8cCA/edit#gid=346597447"",""มุกดาหาร!L563"")"),0)</f>
        <v>0</v>
      </c>
      <c r="M668" s="570"/>
      <c r="N668" s="587">
        <f ca="1">IFERROR(__xludf.DUMMYFUNCTION("IMPORTRANGE(""https://docs.google.com/spreadsheets/d/1XL5vhW3sbDhbH9Cz0tuDiY8C3ctxq1tqvaCgkFb8cCA/edit#gid=346597447"",""มุกดาหาร!M563"")"),0)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IFERROR(__xludf.DUMMYFUNCTION("IMPORTRANGE(""https://docs.google.com/spreadsheets/d/1XL5vhW3sbDhbH9Cz0tuDiY8C3ctxq1tqvaCgkFb8cCA/edit#gid=346597447"",""มุกดาหาร!J564"")"),0)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IFERROR(__xludf.DUMMYFUNCTION("IMPORTRANGE(""https://docs.google.com/spreadsheets/d/1XL5vhW3sbDhbH9Cz0tuDiY8C3ctxq1tqvaCgkFb8cCA/edit#gid=346597447"",""มุกดาหาร!J565"")"),0)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IFERROR(__xludf.DUMMYFUNCTION("IMPORTRANGE(""https://docs.google.com/spreadsheets/d/1XL5vhW3sbDhbH9Cz0tuDiY8C3ctxq1tqvaCgkFb8cCA/edit#gid=346597447"",""มุกดาหาร!I566"")"),0)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IFERROR(__xludf.DUMMYFUNCTION("IMPORTRANGE(""https://docs.google.com/spreadsheets/d/1XL5vhW3sbDhbH9Cz0tuDiY8C3ctxq1tqvaCgkFb8cCA/edit#gid=346597447"",""มุกดาหาร!L566"")"),0)</f>
        <v>0</v>
      </c>
      <c r="M671" s="570"/>
      <c r="N671" s="587">
        <f ca="1">IFERROR(__xludf.DUMMYFUNCTION("IMPORTRANGE(""https://docs.google.com/spreadsheets/d/1XL5vhW3sbDhbH9Cz0tuDiY8C3ctxq1tqvaCgkFb8cCA/edit#gid=346597447"",""มุกดาหาร!M566"")"),0)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IFERROR(__xludf.DUMMYFUNCTION("IMPORTRANGE(""https://docs.google.com/spreadsheets/d/1XL5vhW3sbDhbH9Cz0tuDiY8C3ctxq1tqvaCgkFb8cCA/edit#gid=346597447"",""มุกดาหาร!J567"")"),0)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IFERROR(__xludf.DUMMYFUNCTION("IMPORTRANGE(""https://docs.google.com/spreadsheets/d/1XL5vhW3sbDhbH9Cz0tuDiY8C3ctxq1tqvaCgkFb8cCA/edit#gid=346597447"",""มุกดาหาร!J568"")"),0)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IFERROR(__xludf.DUMMYFUNCTION("IMPORTRANGE(""https://docs.google.com/spreadsheets/d/1XL5vhW3sbDhbH9Cz0tuDiY8C3ctxq1tqvaCgkFb8cCA/edit#gid=346597447"",""มุกดาหาร!J569"")"),0)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IFERROR(__xludf.DUMMYFUNCTION("IMPORTRANGE(""https://docs.google.com/spreadsheets/d/1XL5vhW3sbDhbH9Cz0tuDiY8C3ctxq1tqvaCgkFb8cCA/edit#gid=346597447"",""มุกดาหาร!J570"")"),0)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IFERROR(__xludf.DUMMYFUNCTION("IMPORTRANGE(""https://docs.google.com/spreadsheets/d/1XL5vhW3sbDhbH9Cz0tuDiY8C3ctxq1tqvaCgkFb8cCA/edit#gid=346597447"",""มุกดาหาร!J571"")"),0)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IFERROR(__xludf.DUMMYFUNCTION("IMPORTRANGE(""https://docs.google.com/spreadsheets/d/1XL5vhW3sbDhbH9Cz0tuDiY8C3ctxq1tqvaCgkFb8cCA/edit#gid=346597447"",""มุกดาหาร!J572"")"),0)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3" sqref="G1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2851562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5983590</v>
      </c>
      <c r="M8" s="23">
        <f t="shared" ca="1" si="0"/>
        <v>2934760</v>
      </c>
      <c r="N8" s="23">
        <f t="shared" ca="1" si="0"/>
        <v>3113415.87</v>
      </c>
      <c r="O8" s="22">
        <f t="shared" ref="O8:O16" ca="1" si="1">IF(L8&gt;0,N8*100/L8,0)</f>
        <v>52.032573588765274</v>
      </c>
      <c r="P8" s="22">
        <f t="shared" ref="P8:P16" ca="1" si="2">IF(M8&gt;0,N8*100/M8,0)</f>
        <v>106.08758024506263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5983590</v>
      </c>
      <c r="M10" s="30">
        <f t="shared" ca="1" si="4"/>
        <v>2934760</v>
      </c>
      <c r="N10" s="30">
        <f t="shared" ca="1" si="4"/>
        <v>3113415.87</v>
      </c>
      <c r="O10" s="29">
        <f t="shared" ca="1" si="1"/>
        <v>52.032573588765274</v>
      </c>
      <c r="P10" s="29">
        <f t="shared" ca="1" si="2"/>
        <v>106.08758024506263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5744190</v>
      </c>
      <c r="M12" s="38">
        <f t="shared" ca="1" si="6"/>
        <v>2695360</v>
      </c>
      <c r="N12" s="38">
        <f t="shared" ca="1" si="6"/>
        <v>2874015.87</v>
      </c>
      <c r="O12" s="38">
        <f t="shared" ca="1" si="1"/>
        <v>50.033440223948027</v>
      </c>
      <c r="P12" s="38">
        <f t="shared" ca="1" si="2"/>
        <v>106.62827488721358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3671390</v>
      </c>
      <c r="M14" s="38">
        <f t="shared" si="8"/>
        <v>0</v>
      </c>
      <c r="N14" s="38">
        <f t="shared" ca="1" si="8"/>
        <v>975122.5</v>
      </c>
      <c r="O14" s="38">
        <f t="shared" ca="1" si="1"/>
        <v>26.560035844734557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3601320</v>
      </c>
      <c r="M18" s="23">
        <f t="shared" ca="1" si="11"/>
        <v>2934760</v>
      </c>
      <c r="N18" s="23">
        <f t="shared" ca="1" si="11"/>
        <v>2138293.37</v>
      </c>
      <c r="O18" s="22">
        <f t="shared" ref="O18:O20" ca="1" si="12">IF(L18&gt;0,N18*100/L18,0)</f>
        <v>59.375267124276654</v>
      </c>
      <c r="P18" s="22">
        <f t="shared" ref="P18:P26" ca="1" si="13">IF(M18&gt;0,N18*100/M18,0)</f>
        <v>72.860927980482217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3601320</v>
      </c>
      <c r="M20" s="30">
        <f t="shared" ca="1" si="15"/>
        <v>2934760</v>
      </c>
      <c r="N20" s="30">
        <f t="shared" ca="1" si="15"/>
        <v>2138293.37</v>
      </c>
      <c r="O20" s="29">
        <f t="shared" ca="1" si="12"/>
        <v>59.375267124276654</v>
      </c>
      <c r="P20" s="29">
        <f t="shared" ca="1" si="13"/>
        <v>72.860927980482217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3361920</v>
      </c>
      <c r="M22" s="41">
        <f t="shared" ca="1" si="18"/>
        <v>2695360</v>
      </c>
      <c r="N22" s="38">
        <f t="shared" ca="1" si="18"/>
        <v>1898893.37</v>
      </c>
      <c r="O22" s="38">
        <f t="shared" ca="1" si="17"/>
        <v>56.482407969255661</v>
      </c>
      <c r="P22" s="38">
        <f t="shared" ca="1" si="13"/>
        <v>70.450454484744157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1289120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2382270</v>
      </c>
      <c r="M28" s="23">
        <f t="shared" si="23"/>
        <v>0</v>
      </c>
      <c r="N28" s="23">
        <f t="shared" ca="1" si="23"/>
        <v>975122.5</v>
      </c>
      <c r="O28" s="22">
        <f t="shared" ref="O28:O30" ca="1" si="24">IF(L28&gt;0,N28*100/L28,0)</f>
        <v>40.932492958396821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2382270</v>
      </c>
      <c r="M30" s="30">
        <f t="shared" si="27"/>
        <v>0</v>
      </c>
      <c r="N30" s="30">
        <f t="shared" ca="1" si="27"/>
        <v>975122.5</v>
      </c>
      <c r="O30" s="29">
        <f t="shared" ca="1" si="24"/>
        <v>40.932492958396821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2382270</v>
      </c>
      <c r="M32" s="38">
        <f t="shared" si="30"/>
        <v>0</v>
      </c>
      <c r="N32" s="38">
        <f t="shared" ca="1" si="30"/>
        <v>975122.5</v>
      </c>
      <c r="O32" s="38">
        <f t="shared" ca="1" si="29"/>
        <v>40.932492958396821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2382270</v>
      </c>
      <c r="M34" s="38">
        <f t="shared" si="32"/>
        <v>0</v>
      </c>
      <c r="N34" s="38">
        <f t="shared" ca="1" si="32"/>
        <v>975122.5</v>
      </c>
      <c r="O34" s="38">
        <f t="shared" ca="1" si="29"/>
        <v>40.932492958396821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3601320</v>
      </c>
      <c r="M37" s="54">
        <f t="shared" ca="1" si="33"/>
        <v>2934760</v>
      </c>
      <c r="N37" s="54">
        <f t="shared" ca="1" si="33"/>
        <v>2138293.37</v>
      </c>
      <c r="O37" s="55">
        <f t="shared" ca="1" si="29"/>
        <v>59.375267124276654</v>
      </c>
      <c r="P37" s="55">
        <f t="shared" ca="1" si="25"/>
        <v>72.860927980482217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633100</v>
      </c>
      <c r="N41" s="78">
        <f t="shared" ca="1" si="34"/>
        <v>494244.37</v>
      </c>
      <c r="O41" s="77">
        <f t="shared" ref="O41:O43" ca="1" si="35">IF(L41&gt;0,N41*100/L41,0)</f>
        <v>58.552821940528375</v>
      </c>
      <c r="P41" s="77">
        <f t="shared" ref="P41:P43" ca="1" si="36">IF(M41&gt;0,N41*100/M41,0)</f>
        <v>78.067346390775555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633100</v>
      </c>
      <c r="N43" s="78">
        <f t="shared" ca="1" si="38"/>
        <v>494244.37</v>
      </c>
      <c r="O43" s="77">
        <f t="shared" ca="1" si="35"/>
        <v>58.552821940528375</v>
      </c>
      <c r="P43" s="77">
        <f t="shared" ca="1" si="36"/>
        <v>78.067346390775555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622">
        <f ca="1">IFERROR(__xludf.DUMMYFUNCTION("IMPORTRANGE(""https://docs.google.com/spreadsheets/d/1Yj_ptqi66GCucihVvJfMjLAmec39IyEx_6qawtMGysU/edit?usp=sharing"",""สบก!Q47"")"),633100)</f>
        <v>633100</v>
      </c>
      <c r="N45" s="622">
        <f ca="1">IFERROR(__xludf.DUMMYFUNCTION("IMPORTRANGE(""https://docs.google.com/spreadsheets/d/1Yj_ptqi66GCucihVvJfMjLAmec39IyEx_6qawtMGysU/edit?usp=sharing"",""สบก!R47"")"),494244.37)</f>
        <v>494244.37</v>
      </c>
      <c r="O45" s="623">
        <f ca="1">IF(L45&gt;0,N45*100/L45,0)</f>
        <v>58.552821940528375</v>
      </c>
      <c r="P45" s="623">
        <f ca="1">IF(M45&gt;0,N45*100/M45,0)</f>
        <v>78.067346390775555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IFERROR(__xludf.DUMMYFUNCTION("IMPORTRANGE(""https://docs.google.com/spreadsheets/d/1Yj_ptqi66GCucihVvJfMjLAmec39IyEx_6qawtMGysU/edit?usp=sharing"",""สบก!M47"")"),844100)</f>
        <v>844100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IFERROR(__xludf.DUMMYFUNCTION("IMPORTRANGE(""https://docs.google.com/spreadsheets/d/1Yj_ptqi66GCucihVvJfMjLAmec39IyEx_6qawtMGysU/edit?usp=sharing"",""สบก!N47"")"),0)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IFERROR(__xludf.DUMMYFUNCTION("IMPORTRANGE(""https://docs.google.com/spreadsheets/d/1Yj_ptqi66GCucihVvJfMjLAmec39IyEx_6qawtMGysU/edit?usp=sharing"",""สบก!O47"")"),0)</f>
        <v>0</v>
      </c>
      <c r="M49" s="625"/>
      <c r="N49" s="622">
        <f ca="1">IFERROR(__xludf.DUMMYFUNCTION("IMPORTRANGE(""https://docs.google.com/spreadsheets/d/1Yj_ptqi66GCucihVvJfMjLAmec39IyEx_6qawtMGysU/edit?usp=sharing"",""สบก!S47"")"),0)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486720</v>
      </c>
      <c r="N53" s="121">
        <f t="shared" ca="1" si="39"/>
        <v>370308</v>
      </c>
      <c r="O53" s="120">
        <f t="shared" ref="O53:O55" ca="1" si="40">IF(L53&gt;0,N53*100/L53,0)</f>
        <v>58.779047619047617</v>
      </c>
      <c r="P53" s="120">
        <f t="shared" ref="P53:P55" ca="1" si="41">IF(M53&gt;0,N53*100/M53,0)</f>
        <v>76.082347140039445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486720</v>
      </c>
      <c r="N55" s="121">
        <f t="shared" ca="1" si="43"/>
        <v>370308</v>
      </c>
      <c r="O55" s="120">
        <f t="shared" ca="1" si="40"/>
        <v>58.779047619047617</v>
      </c>
      <c r="P55" s="120">
        <f t="shared" ca="1" si="41"/>
        <v>76.082347140039445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2">
        <f ca="1">IFERROR(__xludf.DUMMYFUNCTION("IMPORTRANGE(""https://docs.google.com/spreadsheets/d/1Yj_ptqi66GCucihVvJfMjLAmec39IyEx_6qawtMGysU/edit?usp=sharing"",""สบก!Z47"")"),486720)</f>
        <v>486720</v>
      </c>
      <c r="N57" s="622">
        <f ca="1">IFERROR(__xludf.DUMMYFUNCTION("IMPORTRANGE(""https://docs.google.com/spreadsheets/d/1Yj_ptqi66GCucihVvJfMjLAmec39IyEx_6qawtMGysU/edit?usp=sharing"",""สบก!AA47"")"),370308)</f>
        <v>370308</v>
      </c>
      <c r="O57" s="623">
        <f ca="1">IF(L57&gt;0,N57*100/L57,0)</f>
        <v>58.779047619047617</v>
      </c>
      <c r="P57" s="623">
        <f ca="1">IF(M57&gt;0,N57*100/M57,0)</f>
        <v>76.082347140039445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IFERROR(__xludf.DUMMYFUNCTION("IMPORTRANGE(""https://docs.google.com/spreadsheets/d/1Yj_ptqi66GCucihVvJfMjLAmec39IyEx_6qawtMGysU/edit?usp=sharing"",""สบก!V47"")"),630000)</f>
        <v>630000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IFERROR(__xludf.DUMMYFUNCTION("IMPORTRANGE(""https://docs.google.com/spreadsheets/d/1Yj_ptqi66GCucihVvJfMjLAmec39IyEx_6qawtMGysU/edit?usp=sharing"",""สบก!W47"")"),0)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IFERROR(__xludf.DUMMYFUNCTION("IMPORTRANGE(""https://docs.google.com/spreadsheets/d/1Yj_ptqi66GCucihVvJfMjLAmec39IyEx_6qawtMGysU/edit?usp=sharing"",""สบก!X47"")"),0)</f>
        <v>0</v>
      </c>
      <c r="M61" s="625"/>
      <c r="N61" s="622">
        <f ca="1">IFERROR(__xludf.DUMMYFUNCTION("IMPORTRANGE(""https://docs.google.com/spreadsheets/d/1Yj_ptqi66GCucihVvJfMjLAmec39IyEx_6qawtMGysU/edit?usp=sharing"",""สบก!AB47"")"),0)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602720</v>
      </c>
      <c r="N66" s="152">
        <f t="shared" ca="1" si="45"/>
        <v>360537</v>
      </c>
      <c r="O66" s="151">
        <f t="shared" ref="O66:O68" ca="1" si="46">IF(L66&gt;0,N66*100/L66,0)</f>
        <v>48.361770623742451</v>
      </c>
      <c r="P66" s="151">
        <f t="shared" ref="P66:P68" ca="1" si="47">IF(M66&gt;0,N66*100/M66,0)</f>
        <v>59.818323599681442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745500</v>
      </c>
      <c r="M68" s="157">
        <f t="shared" ca="1" si="49"/>
        <v>602720</v>
      </c>
      <c r="N68" s="157">
        <f t="shared" ca="1" si="49"/>
        <v>360537</v>
      </c>
      <c r="O68" s="156">
        <f t="shared" ca="1" si="46"/>
        <v>48.361770623742451</v>
      </c>
      <c r="P68" s="156">
        <f t="shared" ca="1" si="47"/>
        <v>59.818323599681442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745500</v>
      </c>
      <c r="M70" s="626">
        <f ca="1">IFERROR(__xludf.DUMMYFUNCTION("IMPORTRANGE(""https://docs.google.com/spreadsheets/d/1Yj_ptqi66GCucihVvJfMjLAmec39IyEx_6qawtMGysU/edit?usp=sharing"",""สบก!AI47"")"),602720)</f>
        <v>602720</v>
      </c>
      <c r="N70" s="627">
        <f ca="1">IFERROR(__xludf.DUMMYFUNCTION("IMPORTRANGE(""https://docs.google.com/spreadsheets/d/1Yj_ptqi66GCucihVvJfMjLAmec39IyEx_6qawtMGysU/edit?usp=sharing"",""สบก!AJ47"")"),360537)</f>
        <v>360537</v>
      </c>
      <c r="O70" s="169">
        <f ca="1">IF(L70&gt;0,N70*100/L70,0)</f>
        <v>48.361770623742451</v>
      </c>
      <c r="P70" s="169">
        <f ca="1">IF(M70&gt;0,N70*100/M70,0)</f>
        <v>59.818323599681442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IFERROR(__xludf.DUMMYFUNCTION("IMPORTRANGE(""https://docs.google.com/spreadsheets/d/1Yj_ptqi66GCucihVvJfMjLAmec39IyEx_6qawtMGysU/edit?usp=sharing"",""สบก!AF47"")"),424000)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IFERROR(__xludf.DUMMYFUNCTION("IMPORTRANGE(""https://docs.google.com/spreadsheets/d/1Yj_ptqi66GCucihVvJfMjLAmec39IyEx_6qawtMGysU/edit?usp=sharing"",""สบก!AG47"")"),0)</f>
        <v>0</v>
      </c>
      <c r="M74" s="625"/>
      <c r="N74" s="622">
        <f ca="1">IFERROR(__xludf.DUMMYFUNCTION("IMPORTRANGE(""https://docs.google.com/spreadsheets/d/1Yj_ptqi66GCucihVvJfMjLAmec39IyEx_6qawtMGysU/edit?usp=sharing"",""สบก!AK47"")"),0)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IFERROR(__xludf.DUMMYFUNCTION("IMPORTRANGE(""https://docs.google.com/spreadsheets/d/1XL5vhW3sbDhbH9Cz0tuDiY8C3ctxq1tqvaCgkFb8cCA/edit?usp=sharing"",""ยโสธร!I28"")"),40)</f>
        <v>40</v>
      </c>
      <c r="J88" s="204">
        <f ca="1">IFERROR(__xludf.DUMMYFUNCTION("IMPORTRANGE(""https://docs.google.com/spreadsheets/d/1XL5vhW3sbDhbH9Cz0tuDiY8C3ctxq1tqvaCgkFb8cCA/edit?usp=sharing"",""ยโสธร!J28"")"),0)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IFERROR(__xludf.DUMMYFUNCTION("IMPORTRANGE(""https://docs.google.com/spreadsheets/d/1XL5vhW3sbDhbH9Cz0tuDiY8C3ctxq1tqvaCgkFb8cCA/edit?usp=sharing"",""ยโสธร!J30"")"),0)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149040</v>
      </c>
      <c r="O94" s="151">
        <f t="shared" ref="O94:O96" ca="1" si="53">IF(L94&gt;0,N94*100/L94,0)</f>
        <v>69.48251748251748</v>
      </c>
      <c r="P94" s="151">
        <f t="shared" ref="P94:P96" ca="1" si="54">IF(M94&gt;0,N94*100/M94,0)</f>
        <v>76.644982129541546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149040</v>
      </c>
      <c r="O96" s="156">
        <f t="shared" ca="1" si="53"/>
        <v>69.48251748251748</v>
      </c>
      <c r="P96" s="156">
        <f t="shared" ca="1" si="54"/>
        <v>76.644982129541546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IFERROR(__xludf.DUMMYFUNCTION("IMPORTRANGE(""https://docs.google.com/spreadsheets/d/1Yj_ptqi66GCucihVvJfMjLAmec39IyEx_6qawtMGysU/edit?usp=sharing"",""สบก!AR47"")"),102055)</f>
        <v>102055</v>
      </c>
      <c r="N98" s="627">
        <f ca="1">IFERROR(__xludf.DUMMYFUNCTION("IMPORTRANGE(""https://docs.google.com/spreadsheets/d/1Yj_ptqi66GCucihVvJfMjLAmec39IyEx_6qawtMGysU/edit?usp=sharing"",""สบก!AS47"")"),56640)</f>
        <v>56640</v>
      </c>
      <c r="O98" s="169">
        <f ca="1">IF(L98&gt;0,N98*100/L98,0)</f>
        <v>46.388206388206392</v>
      </c>
      <c r="P98" s="169">
        <f ca="1">IF(M98&gt;0,N98*100/M98,0)</f>
        <v>55.499485571505559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IFERROR(__xludf.DUMMYFUNCTION("IMPORTRANGE(""https://docs.google.com/spreadsheets/d/1Yj_ptqi66GCucihVvJfMjLAmec39IyEx_6qawtMGysU/edit?usp=sharing"",""สบก!AP47"")"),92400)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IFERROR(__xludf.DUMMYFUNCTION("IMPORTRANGE(""https://docs.google.com/spreadsheets/d/1Yj_ptqi66GCucihVvJfMjLAmec39IyEx_6qawtMGysU/edit?usp=sharing"",""สบก!AT47"")"),92400)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IFERROR(__xludf.DUMMYFUNCTION("IMPORTRANGE(""https://docs.google.com/spreadsheets/d/1XL5vhW3sbDhbH9Cz0tuDiY8C3ctxq1tqvaCgkFb8cCA/edit?usp=sharing"",""ยโสธร!J50"")"),0)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48524</v>
      </c>
      <c r="O118" s="151">
        <f t="shared" ref="O118:O120" ca="1" si="59">IF(L118&gt;0,N118*100/L118,0)</f>
        <v>58.859776807375063</v>
      </c>
      <c r="P118" s="151">
        <f t="shared" ref="P118:P120" ca="1" si="60">IF(M118&gt;0,N118*100/M118,0)</f>
        <v>58.859776807375063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48524</v>
      </c>
      <c r="O120" s="156">
        <f t="shared" ca="1" si="59"/>
        <v>58.859776807375063</v>
      </c>
      <c r="P120" s="156">
        <f t="shared" ca="1" si="60"/>
        <v>58.859776807375063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IFERROR(__xludf.DUMMYFUNCTION("IMPORTRANGE(""https://docs.google.com/spreadsheets/d/1Yj_ptqi66GCucihVvJfMjLAmec39IyEx_6qawtMGysU/edit?usp=sharing"",""สบก!BA47"")"),82440)</f>
        <v>82440</v>
      </c>
      <c r="N122" s="627">
        <f ca="1">IFERROR(__xludf.DUMMYFUNCTION("IMPORTRANGE(""https://docs.google.com/spreadsheets/d/1Yj_ptqi66GCucihVvJfMjLAmec39IyEx_6qawtMGysU/edit?usp=sharing"",""สบก!BB47"")"),48524)</f>
        <v>48524</v>
      </c>
      <c r="O122" s="169">
        <f ca="1">IF(L122&gt;0,N122*100/L122,0)</f>
        <v>58.859776807375063</v>
      </c>
      <c r="P122" s="169">
        <f ca="1">IF(M122&gt;0,N122*100/M122,0)</f>
        <v>58.859776807375063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IFERROR(__xludf.DUMMYFUNCTION("IMPORTRANGE(""https://docs.google.com/spreadsheets/d/1Yj_ptqi66GCucihVvJfMjLAmec39IyEx_6qawtMGysU/edit?usp=sharing"",""สบก!AX47"")"),82440)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IFERROR(__xludf.DUMMYFUNCTION("IMPORTRANGE(""https://docs.google.com/spreadsheets/d/1Yj_ptqi66GCucihVvJfMjLAmec39IyEx_6qawtMGysU/edit?usp=sharing"",""สบก!AY47"")"),0)</f>
        <v>0</v>
      </c>
      <c r="M126" s="625"/>
      <c r="N126" s="622">
        <f ca="1">IFERROR(__xludf.DUMMYFUNCTION("IMPORTRANGE(""https://docs.google.com/spreadsheets/d/1Yj_ptqi66GCucihVvJfMjLAmec39IyEx_6qawtMGysU/edit?usp=sharing"",""สบก!BC47"")"),0)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279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IFERROR(__xludf.DUMMYFUNCTION("IMPORTRANGE(""https://docs.google.com/spreadsheets/d/1XL5vhW3sbDhbH9Cz0tuDiY8C3ctxq1tqvaCgkFb8cCA/edit?usp=sharing"",""ยโสธร!J65"")"),0)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IFERROR(__xludf.DUMMYFUNCTION("IMPORTRANGE(""https://docs.google.com/spreadsheets/d/1XL5vhW3sbDhbH9Cz0tuDiY8C3ctxq1tqvaCgkFb8cCA/edit?usp=sharing"",""ยโสธร!I68"")"),0)</f>
        <v>0</v>
      </c>
      <c r="J138" s="267">
        <f ca="1">IFERROR(__xludf.DUMMYFUNCTION("IMPORTRANGE(""https://docs.google.com/spreadsheets/d/1XL5vhW3sbDhbH9Cz0tuDiY8C3ctxq1tqvaCgkFb8cCA/edit?usp=sharing"",""ยโสธร!J68"")"),0)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60480</v>
      </c>
      <c r="O140" s="151">
        <f t="shared" ref="O140:O142" ca="1" si="65">IF(L140&gt;0,N140*100/L140,0)</f>
        <v>76.556962025316452</v>
      </c>
      <c r="P140" s="151">
        <f t="shared" ref="P140:P142" ca="1" si="66">IF(M140&gt;0,N140*100/M140,0)</f>
        <v>85.635398230088498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70625</v>
      </c>
      <c r="N142" s="157">
        <f t="shared" ca="1" si="68"/>
        <v>60480</v>
      </c>
      <c r="O142" s="156">
        <f t="shared" ca="1" si="65"/>
        <v>76.556962025316452</v>
      </c>
      <c r="P142" s="156">
        <f t="shared" ca="1" si="66"/>
        <v>85.635398230088498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626">
        <f ca="1">IFERROR(__xludf.DUMMYFUNCTION("IMPORTRANGE(""https://docs.google.com/spreadsheets/d/1Yj_ptqi66GCucihVvJfMjLAmec39IyEx_6qawtMGysU/edit?usp=sharing"",""สบก!BJ47"")"),70625)</f>
        <v>70625</v>
      </c>
      <c r="N144" s="627">
        <f ca="1">IFERROR(__xludf.DUMMYFUNCTION("IMPORTRANGE(""https://docs.google.com/spreadsheets/d/1Yj_ptqi66GCucihVvJfMjLAmec39IyEx_6qawtMGysU/edit?usp=sharing"",""สบก!BK47"")"),60480)</f>
        <v>60480</v>
      </c>
      <c r="O144" s="169">
        <f ca="1">IF(L144&gt;0,N144*100/L144,0)</f>
        <v>76.556962025316452</v>
      </c>
      <c r="P144" s="169">
        <f ca="1">IF(M144&gt;0,N144*100/M144,0)</f>
        <v>85.635398230088498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IFERROR(__xludf.DUMMYFUNCTION("IMPORTRANGE(""https://docs.google.com/spreadsheets/d/1Yj_ptqi66GCucihVvJfMjLAmec39IyEx_6qawtMGysU/edit?usp=sharing"",""สบก!BG47"")"),79000)</f>
        <v>79000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IFERROR(__xludf.DUMMYFUNCTION("IMPORTRANGE(""https://docs.google.com/spreadsheets/d/1Yj_ptqi66GCucihVvJfMjLAmec39IyEx_6qawtMGysU/edit?usp=sharing"",""สบก!BH47"")"),0)</f>
        <v>0</v>
      </c>
      <c r="M148" s="625"/>
      <c r="N148" s="622">
        <f ca="1">IFERROR(__xludf.DUMMYFUNCTION("IMPORTRANGE(""https://docs.google.com/spreadsheets/d/1Yj_ptqi66GCucihVvJfMjLAmec39IyEx_6qawtMGysU/edit?usp=sharing"",""สบก!BL47"")"),0)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IFERROR(__xludf.DUMMYFUNCTION("IMPORTRANGE(""https://docs.google.com/spreadsheets/d/1XL5vhW3sbDhbH9Cz0tuDiY8C3ctxq1tqvaCgkFb8cCA/edit?usp=sharing"",""ยโสธร!I74"")"),4)</f>
        <v>4</v>
      </c>
      <c r="J149" s="275">
        <f ca="1">IFERROR(__xludf.DUMMYFUNCTION("IMPORTRANGE(""https://docs.google.com/spreadsheets/d/1XL5vhW3sbDhbH9Cz0tuDiY8C3ctxq1tqvaCgkFb8cCA/edit?usp=sharing"",""ยโสธร!J74"")"),2)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IFERROR(__xludf.DUMMYFUNCTION("IMPORTRANGE(""https://docs.google.com/spreadsheets/d/1XL5vhW3sbDhbH9Cz0tuDiY8C3ctxq1tqvaCgkFb8cCA/edit?usp=sharing"",""ยโสธร!J84"")"),30)</f>
        <v>30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IFERROR(__xludf.DUMMYFUNCTION("IMPORTRANGE(""https://docs.google.com/spreadsheets/d/1XL5vhW3sbDhbH9Cz0tuDiY8C3ctxq1tqvaCgkFb8cCA/edit?usp=sharing"",""ยโสธร!J85"")"),30)</f>
        <v>30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IFERROR(__xludf.DUMMYFUNCTION("IMPORTRANGE(""https://docs.google.com/spreadsheets/d/1XL5vhW3sbDhbH9Cz0tuDiY8C3ctxq1tqvaCgkFb8cCA/edit?usp=sharing"",""ยโสธร!J88"")"),0)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IFERROR(__xludf.DUMMYFUNCTION("IMPORTRANGE(""https://docs.google.com/spreadsheets/d/1XL5vhW3sbDhbH9Cz0tuDiY8C3ctxq1tqvaCgkFb8cCA/edit?usp=sharing"",""ยโสธร!I89"")"),3)</f>
        <v>3</v>
      </c>
      <c r="J164" s="284">
        <f ca="1">IFERROR(__xludf.DUMMYFUNCTION("IMPORTRANGE(""https://docs.google.com/spreadsheets/d/1XL5vhW3sbDhbH9Cz0tuDiY8C3ctxq1tqvaCgkFb8cCA/edit?usp=sharing"",""ยโสธร!J89"")"),3)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IFERROR(__xludf.DUMMYFUNCTION("IMPORTRANGE(""https://docs.google.com/spreadsheets/d/1XL5vhW3sbDhbH9Cz0tuDiY8C3ctxq1tqvaCgkFb8cCA/edit?usp=sharing"",""ยโสธร!J100"")"),0)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IFERROR(__xludf.DUMMYFUNCTION("IMPORTRANGE(""https://docs.google.com/spreadsheets/d/1XL5vhW3sbDhbH9Cz0tuDiY8C3ctxq1tqvaCgkFb8cCA/edit?usp=sharing"",""ยโสธร!I101"")"),1)</f>
        <v>1</v>
      </c>
      <c r="J176" s="284">
        <f ca="1">IFERROR(__xludf.DUMMYFUNCTION("IMPORTRANGE(""https://docs.google.com/spreadsheets/d/1XL5vhW3sbDhbH9Cz0tuDiY8C3ctxq1tqvaCgkFb8cCA/edit?usp=sharing"",""ยโสธร!J101"")"),1)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IFERROR(__xludf.DUMMYFUNCTION("IMPORTRANGE(""https://docs.google.com/spreadsheets/d/1XL5vhW3sbDhbH9Cz0tuDiY8C3ctxq1tqvaCgkFb8cCA/edit?usp=sharing"",""ยโสธร!J110"")"),1)</f>
        <v>1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IFERROR(__xludf.DUMMYFUNCTION("IMPORTRANGE(""https://docs.google.com/spreadsheets/d/1XL5vhW3sbDhbH9Cz0tuDiY8C3ctxq1tqvaCgkFb8cCA/edit?usp=sharing"",""ยโสธร!J113"")"),0)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IFERROR(__xludf.DUMMYFUNCTION("IMPORTRANGE(""https://docs.google.com/spreadsheets/d/1XL5vhW3sbDhbH9Cz0tuDiY8C3ctxq1tqvaCgkFb8cCA/edit?usp=sharing"",""ยโสธร!I114"")"),30000)</f>
        <v>30000</v>
      </c>
      <c r="J189" s="284">
        <f ca="1">IFERROR(__xludf.DUMMYFUNCTION("IMPORTRANGE(""https://docs.google.com/spreadsheets/d/1XL5vhW3sbDhbH9Cz0tuDiY8C3ctxq1tqvaCgkFb8cCA/edit?usp=sharing"",""ยโสธร!J114"")"),0)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IFERROR(__xludf.DUMMYFUNCTION("IMPORTRANGE(""https://docs.google.com/spreadsheets/d/1XL5vhW3sbDhbH9Cz0tuDiY8C3ctxq1tqvaCgkFb8cCA/edit?usp=sharing"",""ยโสธร!J128"")"),0)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IFERROR(__xludf.DUMMYFUNCTION("IMPORTRANGE(""https://docs.google.com/spreadsheets/d/1XL5vhW3sbDhbH9Cz0tuDiY8C3ctxq1tqvaCgkFb8cCA/edit?usp=sharing"",""ยโสธร!I129"")"),0)</f>
        <v>0</v>
      </c>
      <c r="J204" s="284">
        <f ca="1">IFERROR(__xludf.DUMMYFUNCTION("IMPORTRANGE(""https://docs.google.com/spreadsheets/d/1XL5vhW3sbDhbH9Cz0tuDiY8C3ctxq1tqvaCgkFb8cCA/edit?usp=sharing"",""ยโสธร!J129"")"),0)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IFERROR(__xludf.DUMMYFUNCTION("IMPORTRANGE(""https://docs.google.com/spreadsheets/d/1XL5vhW3sbDhbH9Cz0tuDiY8C3ctxq1tqvaCgkFb8cCA/edit?usp=sharing"",""ยโสธร!J143"")"),0)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IFERROR(__xludf.DUMMYFUNCTION("IMPORTRANGE(""https://docs.google.com/spreadsheets/d/1XL5vhW3sbDhbH9Cz0tuDiY8C3ctxq1tqvaCgkFb8cCA/edit?usp=sharing"",""ยโสธร!I144"")"),14)</f>
        <v>14</v>
      </c>
      <c r="J219" s="267">
        <f ca="1">IFERROR(__xludf.DUMMYFUNCTION("IMPORTRANGE(""https://docs.google.com/spreadsheets/d/1XL5vhW3sbDhbH9Cz0tuDiY8C3ctxq1tqvaCgkFb8cCA/edit?usp=sharing"",""ยโสธร!J144"")"),14)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IFERROR(__xludf.DUMMYFUNCTION("IMPORTRANGE(""https://docs.google.com/spreadsheets/d/1Yj_ptqi66GCucihVvJfMjLAmec39IyEx_6qawtMGysU/edit?usp=sharing"",""สบก!BS47"")"),20210)</f>
        <v>20210</v>
      </c>
      <c r="N224" s="627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IFERROR(__xludf.DUMMYFUNCTION("IMPORTRANGE(""https://docs.google.com/spreadsheets/d/1Yj_ptqi66GCucihVvJfMjLAmec39IyEx_6qawtMGysU/edit?usp=sharing"",""สบก!BQ47"")"),0)</f>
        <v>0</v>
      </c>
      <c r="M228" s="625"/>
      <c r="N228" s="622">
        <f ca="1">IFERROR(__xludf.DUMMYFUNCTION("IMPORTRANGE(""https://docs.google.com/spreadsheets/d/1Yj_ptqi66GCucihVvJfMjLAmec39IyEx_6qawtMGysU/edit?usp=sharing"",""สบก!BU47"")"),0)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IFERROR(__xludf.DUMMYFUNCTION("IMPORTRANGE(""https://docs.google.com/spreadsheets/d/1XL5vhW3sbDhbH9Cz0tuDiY8C3ctxq1tqvaCgkFb8cCA/edit?usp=sharing"",""ยโสธร!I149"")"),14)</f>
        <v>14</v>
      </c>
      <c r="J229" s="267">
        <f ca="1">IFERROR(__xludf.DUMMYFUNCTION("IMPORTRANGE(""https://docs.google.com/spreadsheets/d/1XL5vhW3sbDhbH9Cz0tuDiY8C3ctxq1tqvaCgkFb8cCA/edit?usp=sharing"",""ยโสธร!J149"")"),14)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IFERROR(__xludf.DUMMYFUNCTION("IMPORTRANGE(""https://docs.google.com/spreadsheets/d/1XL5vhW3sbDhbH9Cz0tuDiY8C3ctxq1tqvaCgkFb8cCA/edit?usp=sharing"",""ยโสธร!J157"")"),1)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IFERROR(__xludf.DUMMYFUNCTION("IMPORTRANGE(""https://docs.google.com/spreadsheets/d/1XL5vhW3sbDhbH9Cz0tuDiY8C3ctxq1tqvaCgkFb8cCA/edit?usp=sharing"",""ยโสธร!I158"")"),0)</f>
        <v>0</v>
      </c>
      <c r="J238" s="267">
        <f ca="1">IFERROR(__xludf.DUMMYFUNCTION("IMPORTRANGE(""https://docs.google.com/spreadsheets/d/1XL5vhW3sbDhbH9Cz0tuDiY8C3ctxq1tqvaCgkFb8cCA/edit?usp=sharing"",""ยโสธร!J158"")"),0)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IFERROR(__xludf.DUMMYFUNCTION("IMPORTRANGE(""https://docs.google.com/spreadsheets/d/1XL5vhW3sbDhbH9Cz0tuDiY8C3ctxq1tqvaCgkFb8cCA/edit?usp=sharing"",""ยโสธร!J166"")"),0)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IFERROR(__xludf.DUMMYFUNCTION("IMPORTRANGE(""https://docs.google.com/spreadsheets/d/1XL5vhW3sbDhbH9Cz0tuDiY8C3ctxq1tqvaCgkFb8cCA/edit?usp=sharing"",""ยโสธร!I169"")"),0)</f>
        <v>0</v>
      </c>
      <c r="J249" s="316">
        <f ca="1">IFERROR(__xludf.DUMMYFUNCTION("IMPORTRANGE(""https://docs.google.com/spreadsheets/d/1XL5vhW3sbDhbH9Cz0tuDiY8C3ctxq1tqvaCgkFb8cCA/edit?usp=sharing"",""ยโสธร!J169"")"),0)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IFERROR(__xludf.DUMMYFUNCTION("IMPORTRANGE(""https://docs.google.com/spreadsheets/d/1Yj_ptqi66GCucihVvJfMjLAmec39IyEx_6qawtMGysU/edit?usp=sharing"",""สบก!CB47"")"),0)</f>
        <v>0</v>
      </c>
      <c r="N254" s="627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IFERROR(__xludf.DUMMYFUNCTION("IMPORTRANGE(""https://docs.google.com/spreadsheets/d/1Yj_ptqi66GCucihVvJfMjLAmec39IyEx_6qawtMGysU/edit?usp=sharing"",""สบก!BZ47"")"),0)</f>
        <v>0</v>
      </c>
      <c r="M258" s="625"/>
      <c r="N258" s="622">
        <f ca="1">IFERROR(__xludf.DUMMYFUNCTION("IMPORTRANGE(""https://docs.google.com/spreadsheets/d/1Yj_ptqi66GCucihVvJfMjLAmec39IyEx_6qawtMGysU/edit?usp=sharing"",""สบก!CD47"")"),0)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IFERROR(__xludf.DUMMYFUNCTION("IMPORTRANGE(""https://docs.google.com/spreadsheets/d/1XL5vhW3sbDhbH9Cz0tuDiY8C3ctxq1tqvaCgkFb8cCA/edit?usp=sharing"",""ยโสธร!J184"")"),0)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IFERROR(__xludf.DUMMYFUNCTION("IMPORTRANGE(""https://docs.google.com/spreadsheets/d/1XL5vhW3sbDhbH9Cz0tuDiY8C3ctxq1tqvaCgkFb8cCA/edit?usp=sharing"",""ยโสธร!I185"")"),15)</f>
        <v>15</v>
      </c>
      <c r="J270" s="316">
        <f ca="1">IFERROR(__xludf.DUMMYFUNCTION("IMPORTRANGE(""https://docs.google.com/spreadsheets/d/1XL5vhW3sbDhbH9Cz0tuDiY8C3ctxq1tqvaCgkFb8cCA/edit?usp=sharing"",""ยโสธร!J185"")"),15)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31060</v>
      </c>
      <c r="O271" s="151">
        <f t="shared" ref="O271:O273" ca="1" si="84">IF(L271&gt;0,N271*100/L271,0)</f>
        <v>56.268115942028984</v>
      </c>
      <c r="P271" s="151">
        <f t="shared" ref="P271:P273" ca="1" si="85">IF(M271&gt;0,N271*100/M271,0)</f>
        <v>96.310077519379846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31060</v>
      </c>
      <c r="O273" s="156">
        <f t="shared" ca="1" si="84"/>
        <v>56.268115942028984</v>
      </c>
      <c r="P273" s="156">
        <f t="shared" ca="1" si="85"/>
        <v>96.310077519379846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IFERROR(__xludf.DUMMYFUNCTION("IMPORTRANGE(""https://docs.google.com/spreadsheets/d/1Yj_ptqi66GCucihVvJfMjLAmec39IyEx_6qawtMGysU/edit?usp=sharing"",""สบก!CK47"")"),32250)</f>
        <v>32250</v>
      </c>
      <c r="N275" s="627">
        <f ca="1">IFERROR(__xludf.DUMMYFUNCTION("IMPORTRANGE(""https://docs.google.com/spreadsheets/d/1Yj_ptqi66GCucihVvJfMjLAmec39IyEx_6qawtMGysU/edit?usp=sharing"",""สบก!CL47"")"),31060)</f>
        <v>31060</v>
      </c>
      <c r="O275" s="169">
        <f ca="1">IF(L275&gt;0,N275*100/L275,0)</f>
        <v>56.268115942028984</v>
      </c>
      <c r="P275" s="169">
        <f ca="1">IF(M275&gt;0,N275*100/M275,0)</f>
        <v>96.310077519379846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IFERROR(__xludf.DUMMYFUNCTION("IMPORTRANGE(""https://docs.google.com/spreadsheets/d/1Yj_ptqi66GCucihVvJfMjLAmec39IyEx_6qawtMGysU/edit?usp=sharing"",""สบก!CI47"")"),0)</f>
        <v>0</v>
      </c>
      <c r="M279" s="625"/>
      <c r="N279" s="622">
        <f ca="1">IFERROR(__xludf.DUMMYFUNCTION("IMPORTRANGE(""https://docs.google.com/spreadsheets/d/1Yj_ptqi66GCucihVvJfMjLAmec39IyEx_6qawtMGysU/edit?usp=sharing"",""สบก!CM47"")"),0)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IFERROR(__xludf.DUMMYFUNCTION("IMPORTRANGE(""https://docs.google.com/spreadsheets/d/1XL5vhW3sbDhbH9Cz0tuDiY8C3ctxq1tqvaCgkFb8cCA/edit?usp=sharing"",""ยโสธร!J197"")"),0)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IFERROR(__xludf.DUMMYFUNCTION("IMPORTRANGE(""https://docs.google.com/spreadsheets/d/1XL5vhW3sbDhbH9Cz0tuDiY8C3ctxq1tqvaCgkFb8cCA/edit?usp=sharing"",""ยโสธร!I199"")"),0)</f>
        <v>0</v>
      </c>
      <c r="J289" s="316">
        <f ca="1">IFERROR(__xludf.DUMMYFUNCTION("IMPORTRANGE(""https://docs.google.com/spreadsheets/d/1XL5vhW3sbDhbH9Cz0tuDiY8C3ctxq1tqvaCgkFb8cCA/edit?usp=sharing"",""ยโสธร!J199"")"),0)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IFERROR(__xludf.DUMMYFUNCTION("IMPORTRANGE(""https://docs.google.com/spreadsheets/d/1Yj_ptqi66GCucihVvJfMjLAmec39IyEx_6qawtMGysU/edit?usp=sharing"",""สบก!CT47"")"),0)</f>
        <v>0</v>
      </c>
      <c r="N294" s="627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IFERROR(__xludf.DUMMYFUNCTION("IMPORTRANGE(""https://docs.google.com/spreadsheets/d/1Yj_ptqi66GCucihVvJfMjLAmec39IyEx_6qawtMGysU/edit?usp=sharing"",""สบก!CR47"")"),0)</f>
        <v>0</v>
      </c>
      <c r="M298" s="625"/>
      <c r="N298" s="622">
        <f ca="1">IFERROR(__xludf.DUMMYFUNCTION("IMPORTRANGE(""https://docs.google.com/spreadsheets/d/1Yj_ptqi66GCucihVvJfMjLAmec39IyEx_6qawtMGysU/edit?usp=sharing"",""สบก!CV47"")"),0)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IFERROR(__xludf.DUMMYFUNCTION("IMPORTRANGE(""https://docs.google.com/spreadsheets/d/1XL5vhW3sbDhbH9Cz0tuDiY8C3ctxq1tqvaCgkFb8cCA/edit?usp=sharing"",""ยโสธร!J213"")"),0)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IFERROR(__xludf.DUMMYFUNCTION("IMPORTRANGE(""https://docs.google.com/spreadsheets/d/1XL5vhW3sbDhbH9Cz0tuDiY8C3ctxq1tqvaCgkFb8cCA/edit?usp=sharing"",""ยโสธร!I214"")"),0)</f>
        <v>0</v>
      </c>
      <c r="J309" s="333">
        <f ca="1">IFERROR(__xludf.DUMMYFUNCTION("IMPORTRANGE(""https://docs.google.com/spreadsheets/d/1XL5vhW3sbDhbH9Cz0tuDiY8C3ctxq1tqvaCgkFb8cCA/edit?usp=sharing"",""ยโสธร!J214"")"),0)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IFERROR(__xludf.DUMMYFUNCTION("IMPORTRANGE(""https://docs.google.com/spreadsheets/d/1Yj_ptqi66GCucihVvJfMjLAmec39IyEx_6qawtMGysU/edit?usp=sharing"",""สบก!DC47"")"),0)</f>
        <v>0</v>
      </c>
      <c r="N314" s="627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IFERROR(__xludf.DUMMYFUNCTION("IMPORTRANGE(""https://docs.google.com/spreadsheets/d/1Yj_ptqi66GCucihVvJfMjLAmec39IyEx_6qawtMGysU/edit?usp=sharing"",""สบก!DA47"")"),0)</f>
        <v>0</v>
      </c>
      <c r="M318" s="625"/>
      <c r="N318" s="622">
        <f ca="1">IFERROR(__xludf.DUMMYFUNCTION("IMPORTRANGE(""https://docs.google.com/spreadsheets/d/1Yj_ptqi66GCucihVvJfMjLAmec39IyEx_6qawtMGysU/edit?usp=sharing"",""สบก!DE47"")"),0)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IFERROR(__xludf.DUMMYFUNCTION("IMPORTRANGE(""https://docs.google.com/spreadsheets/d/1XL5vhW3sbDhbH9Cz0tuDiY8C3ctxq1tqvaCgkFb8cCA/edit?usp=sharing"",""ยโสธร!J226"")"),0)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IFERROR(__xludf.DUMMYFUNCTION("IMPORTRANGE(""https://docs.google.com/spreadsheets/d/1XL5vhW3sbDhbH9Cz0tuDiY8C3ctxq1tqvaCgkFb8cCA/edit?usp=sharing"",""ยโสธร!I228"")"),530)</f>
        <v>530</v>
      </c>
      <c r="J328" s="339">
        <f ca="1">IFERROR(__xludf.DUMMYFUNCTION("IMPORTRANGE(""https://docs.google.com/spreadsheets/d/1XL5vhW3sbDhbH9Cz0tuDiY8C3ctxq1tqvaCgkFb8cCA/edit?usp=sharing"",""ยโสธร!J228"")"),495)</f>
        <v>495</v>
      </c>
      <c r="K328" s="317">
        <f ca="1">IF(I328&gt;0,J328*100/I328,0)</f>
        <v>93.396226415094333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930370</v>
      </c>
      <c r="M329" s="152">
        <f t="shared" ca="1" si="98"/>
        <v>812240</v>
      </c>
      <c r="N329" s="152">
        <f t="shared" ca="1" si="98"/>
        <v>603890</v>
      </c>
      <c r="O329" s="151">
        <f t="shared" ref="O329:O331" ca="1" si="99">IF(L329&gt;0,N329*100/L329,0)</f>
        <v>64.90858475660221</v>
      </c>
      <c r="P329" s="151">
        <f t="shared" ref="P329:P331" ca="1" si="100">IF(M329&gt;0,N329*100/M329,0)</f>
        <v>74.348714665616072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930370</v>
      </c>
      <c r="M331" s="157">
        <f t="shared" ca="1" si="102"/>
        <v>812240</v>
      </c>
      <c r="N331" s="157">
        <f t="shared" ca="1" si="102"/>
        <v>603890</v>
      </c>
      <c r="O331" s="156">
        <f t="shared" ca="1" si="99"/>
        <v>64.90858475660221</v>
      </c>
      <c r="P331" s="156">
        <f t="shared" ca="1" si="100"/>
        <v>74.348714665616072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783370</v>
      </c>
      <c r="M333" s="626">
        <f ca="1">IFERROR(__xludf.DUMMYFUNCTION("IMPORTRANGE(""https://docs.google.com/spreadsheets/d/1Yj_ptqi66GCucihVvJfMjLAmec39IyEx_6qawtMGysU/edit?usp=sharing"",""สบก!DL47"")"),665240)</f>
        <v>665240</v>
      </c>
      <c r="N333" s="627">
        <f ca="1">IFERROR(__xludf.DUMMYFUNCTION("IMPORTRANGE(""https://docs.google.com/spreadsheets/d/1Yj_ptqi66GCucihVvJfMjLAmec39IyEx_6qawtMGysU/edit?usp=sharing"",""สบก!DM47"")"),456890)</f>
        <v>456890</v>
      </c>
      <c r="O333" s="169">
        <f ca="1">IF(L333&gt;0,N333*100/L333,0)</f>
        <v>58.323652935394513</v>
      </c>
      <c r="P333" s="169">
        <f ca="1">IF(M333&gt;0,N333*100/M333,0)</f>
        <v>68.680476219108897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IFERROR(__xludf.DUMMYFUNCTION("IMPORTRANGE(""https://docs.google.com/spreadsheets/d/1Yj_ptqi66GCucihVvJfMjLAmec39IyEx_6qawtMGysU/edit?usp=sharing"",""สบก!DI47"")"),506170)</f>
        <v>506170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IFERROR(__xludf.DUMMYFUNCTION("IMPORTRANGE(""https://docs.google.com/spreadsheets/d/1Yj_ptqi66GCucihVvJfMjLAmec39IyEx_6qawtMGysU/edit?usp=sharing"",""สบก!DJ47"")"),147000)</f>
        <v>147000</v>
      </c>
      <c r="M337" s="625">
        <f ca="1">L337</f>
        <v>147000</v>
      </c>
      <c r="N337" s="622">
        <f ca="1">IFERROR(__xludf.DUMMYFUNCTION("IMPORTRANGE(""https://docs.google.com/spreadsheets/d/1Yj_ptqi66GCucihVvJfMjLAmec39IyEx_6qawtMGysU/edit?usp=sharing"",""สบก!DN47"")"),147000)</f>
        <v>147000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IFERROR(__xludf.DUMMYFUNCTION("IMPORTRANGE(""https://docs.google.com/spreadsheets/d/1XL5vhW3sbDhbH9Cz0tuDiY8C3ctxq1tqvaCgkFb8cCA/edit?usp=sharing"",""ยโสธร!J234"")"),254)</f>
        <v>254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IFERROR(__xludf.DUMMYFUNCTION("IMPORTRANGE(""https://docs.google.com/spreadsheets/d/1XL5vhW3sbDhbH9Cz0tuDiY8C3ctxq1tqvaCgkFb8cCA/edit?usp=sharing"",""ยโสธร!I235"")"),2900)</f>
        <v>2900</v>
      </c>
      <c r="J340" s="188">
        <f ca="1">IFERROR(__xludf.DUMMYFUNCTION("IMPORTRANGE(""https://docs.google.com/spreadsheets/d/1XL5vhW3sbDhbH9Cz0tuDiY8C3ctxq1tqvaCgkFb8cCA/edit?usp=sharing"",""ยโสธร!J235"")"),1826.8)</f>
        <v>1826.8</v>
      </c>
      <c r="K340" s="342">
        <f t="shared" ca="1" si="103"/>
        <v>62.993103448275861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IFERROR(__xludf.DUMMYFUNCTION("IMPORTRANGE(""https://docs.google.com/spreadsheets/d/1XL5vhW3sbDhbH9Cz0tuDiY8C3ctxq1tqvaCgkFb8cCA/edit?usp=sharing"",""ยโสธร!I236"")"),530)</f>
        <v>530</v>
      </c>
      <c r="J341" s="188">
        <f ca="1">IFERROR(__xludf.DUMMYFUNCTION("IMPORTRANGE(""https://docs.google.com/spreadsheets/d/1XL5vhW3sbDhbH9Cz0tuDiY8C3ctxq1tqvaCgkFb8cCA/edit?usp=sharing"",""ยโสธร!J236"")"),553)</f>
        <v>553</v>
      </c>
      <c r="K341" s="342">
        <f t="shared" ca="1" si="103"/>
        <v>104.33962264150944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IFERROR(__xludf.DUMMYFUNCTION("IMPORTRANGE(""https://docs.google.com/spreadsheets/d/1XL5vhW3sbDhbH9Cz0tuDiY8C3ctxq1tqvaCgkFb8cCA/edit?usp=sharing"",""ยโสธร!J237"")"),5196.84)</f>
        <v>5196.84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IFERROR(__xludf.DUMMYFUNCTION("IMPORTRANGE(""https://docs.google.com/spreadsheets/d/1XL5vhW3sbDhbH9Cz0tuDiY8C3ctxq1tqvaCgkFb8cCA/edit?usp=sharing"",""ยโสธร!I238"")"),530)</f>
        <v>530</v>
      </c>
      <c r="J343" s="188">
        <f ca="1">IFERROR(__xludf.DUMMYFUNCTION("IMPORTRANGE(""https://docs.google.com/spreadsheets/d/1XL5vhW3sbDhbH9Cz0tuDiY8C3ctxq1tqvaCgkFb8cCA/edit?usp=sharing"",""ยโสธร!J238"")"),4)</f>
        <v>4</v>
      </c>
      <c r="K343" s="342">
        <f t="shared" ca="1" si="103"/>
        <v>0.75471698113207553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IFERROR(__xludf.DUMMYFUNCTION("IMPORTRANGE(""https://docs.google.com/spreadsheets/d/1XL5vhW3sbDhbH9Cz0tuDiY8C3ctxq1tqvaCgkFb8cCA/edit?usp=sharing"",""ยโสธร!J239"")"),17.67)</f>
        <v>17.670000000000002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IFERROR(__xludf.DUMMYFUNCTION("IMPORTRANGE(""https://docs.google.com/spreadsheets/d/1XL5vhW3sbDhbH9Cz0tuDiY8C3ctxq1tqvaCgkFb8cCA/edit?usp=sharing"",""ยโสธร!I240"")"),530)</f>
        <v>530</v>
      </c>
      <c r="J345" s="188">
        <f ca="1">IFERROR(__xludf.DUMMYFUNCTION("IMPORTRANGE(""https://docs.google.com/spreadsheets/d/1XL5vhW3sbDhbH9Cz0tuDiY8C3ctxq1tqvaCgkFb8cCA/edit?usp=sharing"",""ยโสธร!J240"")"),495)</f>
        <v>495</v>
      </c>
      <c r="K345" s="342">
        <f t="shared" ca="1" si="103"/>
        <v>93.396226415094333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IFERROR(__xludf.DUMMYFUNCTION("IMPORTRANGE(""https://docs.google.com/spreadsheets/d/1XL5vhW3sbDhbH9Cz0tuDiY8C3ctxq1tqvaCgkFb8cCA/edit?usp=sharing"",""ยโสธร!J241"")"),4700.25)</f>
        <v>4700.25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IFERROR(__xludf.DUMMYFUNCTION("IMPORTRANGE(""https://docs.google.com/spreadsheets/d/1XL5vhW3sbDhbH9Cz0tuDiY8C3ctxq1tqvaCgkFb8cCA/edit?usp=sharing"",""ยโสธร!L242"")"),2382270)</f>
        <v>2382270</v>
      </c>
      <c r="M347" s="358"/>
      <c r="N347" s="358">
        <f ca="1">IFERROR(__xludf.DUMMYFUNCTION("IMPORTRANGE(""https://docs.google.com/spreadsheets/d/1XL5vhW3sbDhbH9Cz0tuDiY8C3ctxq1tqvaCgkFb8cCA/edit?usp=sharing"",""ยโสธร!M242"")"),975122.5)</f>
        <v>975122.5</v>
      </c>
      <c r="O347" s="358">
        <f ca="1">+IF(L347&gt;0,N347*100/L347,0)</f>
        <v>40.932492958396821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IFERROR(__xludf.DUMMYFUNCTION("IMPORTRANGE(""https://docs.google.com/spreadsheets/d/1XL5vhW3sbDhbH9Cz0tuDiY8C3ctxq1tqvaCgkFb8cCA/edit?usp=sharing"",""ยโสธร!J244"")"),360)</f>
        <v>360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IFERROR(__xludf.DUMMYFUNCTION("IMPORTRANGE(""https://docs.google.com/spreadsheets/d/1XL5vhW3sbDhbH9Cz0tuDiY8C3ctxq1tqvaCgkFb8cCA/edit?usp=sharing"",""ยโสธร!M244"")"),444707.5)</f>
        <v>444707.5</v>
      </c>
      <c r="O349" s="373">
        <f ca="1">+IF(L349&gt;0,N349*100/L349,0)</f>
        <v>66.582946548884564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IFERROR(__xludf.DUMMYFUNCTION("IMPORTRANGE(""https://docs.google.com/spreadsheets/d/1XL5vhW3sbDhbH9Cz0tuDiY8C3ctxq1tqvaCgkFb8cCA/edit?usp=sharing"",""ยโสธร!M247"")"),444707.5)</f>
        <v>444707.5</v>
      </c>
      <c r="O352" s="165">
        <f t="shared" ca="1" si="105"/>
        <v>66.582946548884564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IFERROR(__xludf.DUMMYFUNCTION("IMPORTRANGE(""https://docs.google.com/spreadsheets/d/1XL5vhW3sbDhbH9Cz0tuDiY8C3ctxq1tqvaCgkFb8cCA/edit?usp=sharing"",""ยโสธร!M249"")"),444707.5)</f>
        <v>444707.5</v>
      </c>
      <c r="O354" s="169">
        <f t="shared" ca="1" si="105"/>
        <v>66.582946548884564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IFERROR(__xludf.DUMMYFUNCTION("IMPORTRANGE(""https://docs.google.com/spreadsheets/d/1XL5vhW3sbDhbH9Cz0tuDiY8C3ctxq1tqvaCgkFb8cCA/edit?usp=sharing"",""ยโสธร!M250"")"),66800)</f>
        <v>66800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IFERROR(__xludf.DUMMYFUNCTION("IMPORTRANGE(""https://docs.google.com/spreadsheets/d/1XL5vhW3sbDhbH9Cz0tuDiY8C3ctxq1tqvaCgkFb8cCA/edit?usp=sharing"",""ยโสธร!M251"")"),300437.5)</f>
        <v>300437.5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IFERROR(__xludf.DUMMYFUNCTION("IMPORTRANGE(""https://docs.google.com/spreadsheets/d/1XL5vhW3sbDhbH9Cz0tuDiY8C3ctxq1tqvaCgkFb8cCA/edit?usp=sharing"",""ยโสธร!M252"")"),44000)</f>
        <v>44000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IFERROR(__xludf.DUMMYFUNCTION("IMPORTRANGE(""https://docs.google.com/spreadsheets/d/1XL5vhW3sbDhbH9Cz0tuDiY8C3ctxq1tqvaCgkFb8cCA/edit?usp=sharing"",""ยโสธร!M253"")"),33470)</f>
        <v>33470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IFERROR(__xludf.DUMMYFUNCTION("IMPORTRANGE(""https://docs.google.com/spreadsheets/d/1XL5vhW3sbDhbH9Cz0tuDiY8C3ctxq1tqvaCgkFb8cCA/edit?usp=sharing"",""ยโสธร!J267"")"),130)</f>
        <v>130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IFERROR(__xludf.DUMMYFUNCTION("IMPORTRANGE(""https://docs.google.com/spreadsheets/d/1XL5vhW3sbDhbH9Cz0tuDiY8C3ctxq1tqvaCgkFb8cCA/edit?usp=sharing"",""ยโสธร!J270"")"),360)</f>
        <v>360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IFERROR(__xludf.DUMMYFUNCTION("IMPORTRANGE(""https://docs.google.com/spreadsheets/d/1XL5vhW3sbDhbH9Cz0tuDiY8C3ctxq1tqvaCgkFb8cCA/edit?usp=sharing"",""ยโสธร!J272"")"),260)</f>
        <v>260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IFERROR(__xludf.DUMMYFUNCTION("IMPORTRANGE(""https://docs.google.com/spreadsheets/d/1XL5vhW3sbDhbH9Cz0tuDiY8C3ctxq1tqvaCgkFb8cCA/edit?usp=sharing"",""ยโสธร!J274"")"),0)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IFERROR(__xludf.DUMMYFUNCTION("IMPORTRANGE(""https://docs.google.com/spreadsheets/d/1XL5vhW3sbDhbH9Cz0tuDiY8C3ctxq1tqvaCgkFb8cCA/edit?usp=sharing"",""ยโสธร!M275"")"),65220)</f>
        <v>65220</v>
      </c>
      <c r="O380" s="373">
        <f ca="1">+IF(L380&gt;0,N380*100/L380,0)</f>
        <v>14.17394705959056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IFERROR(__xludf.DUMMYFUNCTION("IMPORTRANGE(""https://docs.google.com/spreadsheets/d/1XL5vhW3sbDhbH9Cz0tuDiY8C3ctxq1tqvaCgkFb8cCA/edit?usp=sharing"",""ยโสธร!M278"")"),65220)</f>
        <v>65220</v>
      </c>
      <c r="O383" s="165">
        <f t="shared" ca="1" si="109"/>
        <v>14.17394705959056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IFERROR(__xludf.DUMMYFUNCTION("IMPORTRANGE(""https://docs.google.com/spreadsheets/d/1XL5vhW3sbDhbH9Cz0tuDiY8C3ctxq1tqvaCgkFb8cCA/edit?usp=sharing"",""ยโสธร!M280"")"),65220)</f>
        <v>65220</v>
      </c>
      <c r="O385" s="169">
        <f t="shared" ca="1" si="109"/>
        <v>14.17394705959056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IFERROR(__xludf.DUMMYFUNCTION("IMPORTRANGE(""https://docs.google.com/spreadsheets/d/1XL5vhW3sbDhbH9Cz0tuDiY8C3ctxq1tqvaCgkFb8cCA/edit?usp=sharing"",""ยโสธร!M281"")"),50000)</f>
        <v>50000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IFERROR(__xludf.DUMMYFUNCTION("IMPORTRANGE(""https://docs.google.com/spreadsheets/d/1XL5vhW3sbDhbH9Cz0tuDiY8C3ctxq1tqvaCgkFb8cCA/edit?usp=sharing"",""ยโสธร!M284"")"),15220)</f>
        <v>15220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IFERROR(__xludf.DUMMYFUNCTION("IMPORTRANGE(""https://docs.google.com/spreadsheets/d/1XL5vhW3sbDhbH9Cz0tuDiY8C3ctxq1tqvaCgkFb8cCA/edit?usp=sharing"",""ยโสธร!J295"")"),0)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IFERROR(__xludf.DUMMYFUNCTION("IMPORTRANGE(""https://docs.google.com/spreadsheets/d/1XL5vhW3sbDhbH9Cz0tuDiY8C3ctxq1tqvaCgkFb8cCA/edit?usp=sharing"",""ยโสธร!M296"")"),100050)</f>
        <v>100050</v>
      </c>
      <c r="O401" s="373">
        <f ca="1">+IF(L401&gt;0,N401*100/L401,0)</f>
        <v>51.788394844453649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IFERROR(__xludf.DUMMYFUNCTION("IMPORTRANGE(""https://docs.google.com/spreadsheets/d/1XL5vhW3sbDhbH9Cz0tuDiY8C3ctxq1tqvaCgkFb8cCA/edit?usp=sharing"",""ยโสธร!M299"")"),100050)</f>
        <v>100050</v>
      </c>
      <c r="O404" s="169">
        <f t="shared" ca="1" si="112"/>
        <v>51.788394844453649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IFERROR(__xludf.DUMMYFUNCTION("IMPORTRANGE(""https://docs.google.com/spreadsheets/d/1XL5vhW3sbDhbH9Cz0tuDiY8C3ctxq1tqvaCgkFb8cCA/edit?usp=sharing"",""ยโสธร!M301"")"),100050)</f>
        <v>100050</v>
      </c>
      <c r="O406" s="169">
        <f t="shared" ca="1" si="112"/>
        <v>51.788394844453649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IFERROR(__xludf.DUMMYFUNCTION("IMPORTRANGE(""https://docs.google.com/spreadsheets/d/1XL5vhW3sbDhbH9Cz0tuDiY8C3ctxq1tqvaCgkFb8cCA/edit?usp=sharing"",""ยโสธร!M302"")"),81080)</f>
        <v>81080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IFERROR(__xludf.DUMMYFUNCTION("IMPORTRANGE(""https://docs.google.com/spreadsheets/d/1XL5vhW3sbDhbH9Cz0tuDiY8C3ctxq1tqvaCgkFb8cCA/edit?usp=sharing"",""ยโสธร!M305"")"),18970)</f>
        <v>18970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IFERROR(__xludf.DUMMYFUNCTION("IMPORTRANGE(""https://docs.google.com/spreadsheets/d/1XL5vhW3sbDhbH9Cz0tuDiY8C3ctxq1tqvaCgkFb8cCA/edit?usp=sharing"",""ยโสธร!J329"")"),0)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IFERROR(__xludf.DUMMYFUNCTION("IMPORTRANGE(""https://docs.google.com/spreadsheets/d/1XL5vhW3sbDhbH9Cz0tuDiY8C3ctxq1tqvaCgkFb8cCA/edit?usp=sharing"",""ยโสธร!M330"")"),63300)</f>
        <v>63300</v>
      </c>
      <c r="O435" s="412">
        <f t="shared" ref="O435:O439" ca="1" si="114">+IF(L435&gt;0,N435*100/L435,0)</f>
        <v>59.716981132075475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IFERROR(__xludf.DUMMYFUNCTION("IMPORTRANGE(""https://docs.google.com/spreadsheets/d/1XL5vhW3sbDhbH9Cz0tuDiY8C3ctxq1tqvaCgkFb8cCA/edit?usp=sharing"",""ยโสธร!M332"")"),63300)</f>
        <v>63300</v>
      </c>
      <c r="O437" s="169">
        <f t="shared" ca="1" si="114"/>
        <v>59.716981132075475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IFERROR(__xludf.DUMMYFUNCTION("IMPORTRANGE(""https://docs.google.com/spreadsheets/d/1XL5vhW3sbDhbH9Cz0tuDiY8C3ctxq1tqvaCgkFb8cCA/edit?usp=sharing"",""ยโสธร!M334"")"),63300)</f>
        <v>63300</v>
      </c>
      <c r="O439" s="169">
        <f t="shared" ca="1" si="114"/>
        <v>59.716981132075475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IFERROR(__xludf.DUMMYFUNCTION("IMPORTRANGE(""https://docs.google.com/spreadsheets/d/1XL5vhW3sbDhbH9Cz0tuDiY8C3ctxq1tqvaCgkFb8cCA/edit?usp=sharing"",""ยโสธร!M335"")"),52880)</f>
        <v>52880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IFERROR(__xludf.DUMMYFUNCTION("IMPORTRANGE(""https://docs.google.com/spreadsheets/d/1XL5vhW3sbDhbH9Cz0tuDiY8C3ctxq1tqvaCgkFb8cCA/edit?usp=sharing"",""ยโสธร!M338"")"),10420)</f>
        <v>10420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IFERROR(__xludf.DUMMYFUNCTION("IMPORTRANGE(""https://docs.google.com/spreadsheets/d/1XL5vhW3sbDhbH9Cz0tuDiY8C3ctxq1tqvaCgkFb8cCA/edit?usp=sharing"",""ยโสธร!J349"")"),0)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IFERROR(__xludf.DUMMYFUNCTION("IMPORTRANGE(""https://docs.google.com/spreadsheets/d/1XL5vhW3sbDhbH9Cz0tuDiY8C3ctxq1tqvaCgkFb8cCA/edit?usp=sharing"",""ยโสธร!I350"")"),46326)</f>
        <v>46326</v>
      </c>
      <c r="J455" s="371">
        <f ca="1">IFERROR(__xludf.DUMMYFUNCTION("IMPORTRANGE(""https://docs.google.com/spreadsheets/d/1XL5vhW3sbDhbH9Cz0tuDiY8C3ctxq1tqvaCgkFb8cCA/edit?usp=sharing"",""ยโสธร!J350"")"),0)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IFERROR(__xludf.DUMMYFUNCTION("IMPORTRANGE(""https://docs.google.com/spreadsheets/d/1XL5vhW3sbDhbH9Cz0tuDiY8C3ctxq1tqvaCgkFb8cCA/edit?usp=sharing"",""ยโสธร!L350"")"),458660)</f>
        <v>458660</v>
      </c>
      <c r="M455" s="373"/>
      <c r="N455" s="373">
        <f ca="1">IFERROR(__xludf.DUMMYFUNCTION("IMPORTRANGE(""https://docs.google.com/spreadsheets/d/1XL5vhW3sbDhbH9Cz0tuDiY8C3ctxq1tqvaCgkFb8cCA/edit?usp=sharing"",""ยโสธร!M350"")"),102993)</f>
        <v>102993</v>
      </c>
      <c r="O455" s="373">
        <f t="shared" ref="O455:O459" ca="1" si="116">+IF(L455&gt;0,N455*100/L455,0)</f>
        <v>22.455195569703047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IFERROR(__xludf.DUMMYFUNCTION("IMPORTRANGE(""https://docs.google.com/spreadsheets/d/1XL5vhW3sbDhbH9Cz0tuDiY8C3ctxq1tqvaCgkFb8cCA/edit?usp=sharing"",""ยโสธร!L352"")"),458660)</f>
        <v>458660</v>
      </c>
      <c r="M457" s="165"/>
      <c r="N457" s="169">
        <f ca="1">IFERROR(__xludf.DUMMYFUNCTION("IMPORTRANGE(""https://docs.google.com/spreadsheets/d/1XL5vhW3sbDhbH9Cz0tuDiY8C3ctxq1tqvaCgkFb8cCA/edit?usp=sharing"",""ยโสธร!M352"")"),102993)</f>
        <v>102993</v>
      </c>
      <c r="O457" s="169">
        <f t="shared" ca="1" si="116"/>
        <v>22.455195569703047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IFERROR(__xludf.DUMMYFUNCTION("IMPORTRANGE(""https://docs.google.com/spreadsheets/d/1XL5vhW3sbDhbH9Cz0tuDiY8C3ctxq1tqvaCgkFb8cCA/edit?usp=sharing"",""ยโสธร!L354"")"),458660)</f>
        <v>458660</v>
      </c>
      <c r="M459" s="169"/>
      <c r="N459" s="169">
        <f ca="1">IFERROR(__xludf.DUMMYFUNCTION("IMPORTRANGE(""https://docs.google.com/spreadsheets/d/1XL5vhW3sbDhbH9Cz0tuDiY8C3ctxq1tqvaCgkFb8cCA/edit?usp=sharing"",""ยโสธร!M354"")"),102993)</f>
        <v>102993</v>
      </c>
      <c r="O459" s="169">
        <f t="shared" ca="1" si="116"/>
        <v>22.455195569703047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IFERROR(__xludf.DUMMYFUNCTION("IMPORTRANGE(""https://docs.google.com/spreadsheets/d/1XL5vhW3sbDhbH9Cz0tuDiY8C3ctxq1tqvaCgkFb8cCA/edit?usp=sharing"",""ยโสธร!M357"")"),64533)</f>
        <v>64533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IFERROR(__xludf.DUMMYFUNCTION("IMPORTRANGE(""https://docs.google.com/spreadsheets/d/1XL5vhW3sbDhbH9Cz0tuDiY8C3ctxq1tqvaCgkFb8cCA/edit?usp=sharing"",""ยโสธร!M358"")"),38460)</f>
        <v>38460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IFERROR(__xludf.DUMMYFUNCTION("IMPORTRANGE(""https://docs.google.com/spreadsheets/d/1XL5vhW3sbDhbH9Cz0tuDiY8C3ctxq1tqvaCgkFb8cCA/edit?usp=sharing"",""ยโสธร!I359"")"),46326)</f>
        <v>46326</v>
      </c>
      <c r="J464" s="267">
        <f ca="1">IFERROR(__xludf.DUMMYFUNCTION("IMPORTRANGE(""https://docs.google.com/spreadsheets/d/1XL5vhW3sbDhbH9Cz0tuDiY8C3ctxq1tqvaCgkFb8cCA/edit?usp=sharing"",""ยโสธร!J359"")"),0)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IFERROR(__xludf.DUMMYFUNCTION("IMPORTRANGE(""https://docs.google.com/spreadsheets/d/1XL5vhW3sbDhbH9Cz0tuDiY8C3ctxq1tqvaCgkFb8cCA/edit?usp=sharing"",""ยโสธร!I360"")"),46326)</f>
        <v>46326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100.0021586150326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IFERROR(__xludf.DUMMYFUNCTION("IMPORTRANGE(""https://docs.google.com/spreadsheets/d/1XL5vhW3sbDhbH9Cz0tuDiY8C3ctxq1tqvaCgkFb8cCA/edit?usp=sharing"",""ยโสธร!I368"")"),46326)</f>
        <v>46326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100.0021586150326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IFERROR(__xludf.DUMMYFUNCTION("IMPORTRANGE(""https://docs.google.com/spreadsheets/d/1XL5vhW3sbDhbH9Cz0tuDiY8C3ctxq1tqvaCgkFb8cCA/edit?usp=sharing"",""ยโสธร!I376"")"),46326)</f>
        <v>46326</v>
      </c>
      <c r="J481" s="420">
        <f ca="1">IFERROR(__xludf.DUMMYFUNCTION("IMPORTRANGE(""https://docs.google.com/spreadsheets/d/1XL5vhW3sbDhbH9Cz0tuDiY8C3ctxq1tqvaCgkFb8cCA/edit?usp=sharing"",""ยโสธร!J376"")"),0)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IFERROR(__xludf.DUMMYFUNCTION("IMPORTRANGE(""https://docs.google.com/spreadsheets/d/1XL5vhW3sbDhbH9Cz0tuDiY8C3ctxq1tqvaCgkFb8cCA/edit?usp=sharing"",""ยโสธร!I411"")"),0)</f>
        <v>0</v>
      </c>
      <c r="J516" s="267">
        <f ca="1">IFERROR(__xludf.DUMMYFUNCTION("IMPORTRANGE(""https://docs.google.com/spreadsheets/d/1XL5vhW3sbDhbH9Cz0tuDiY8C3ctxq1tqvaCgkFb8cCA/edit?usp=sharing"",""ยโสธร!J411"")"),0)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IFERROR(__xludf.DUMMYFUNCTION("IMPORTRANGE(""https://docs.google.com/spreadsheets/d/1XL5vhW3sbDhbH9Cz0tuDiY8C3ctxq1tqvaCgkFb8cCA/edit?usp=sharing"",""ยโสธร!I412"")"),0)</f>
        <v>0</v>
      </c>
      <c r="J517" s="284">
        <f ca="1">IFERROR(__xludf.DUMMYFUNCTION("IMPORTRANGE(""https://docs.google.com/spreadsheets/d/1XL5vhW3sbDhbH9Cz0tuDiY8C3ctxq1tqvaCgkFb8cCA/edit?usp=sharing"",""ยโสธร!J412"")"),0)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IFERROR(__xludf.DUMMYFUNCTION("IMPORTRANGE(""https://docs.google.com/spreadsheets/d/1XL5vhW3sbDhbH9Cz0tuDiY8C3ctxq1tqvaCgkFb8cCA/edit?usp=sharing"",""ยโสธร!I413"")"),0)</f>
        <v>0</v>
      </c>
      <c r="J518" s="284">
        <f ca="1">IFERROR(__xludf.DUMMYFUNCTION("IMPORTRANGE(""https://docs.google.com/spreadsheets/d/1XL5vhW3sbDhbH9Cz0tuDiY8C3ctxq1tqvaCgkFb8cCA/edit?usp=sharing"",""ยโสธร!J413"")"),0)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IFERROR(__xludf.DUMMYFUNCTION("IMPORTRANGE(""https://docs.google.com/spreadsheets/d/1XL5vhW3sbDhbH9Cz0tuDiY8C3ctxq1tqvaCgkFb8cCA/edit?usp=sharing"",""ยโสธร!I420"")"),0)</f>
        <v>0</v>
      </c>
      <c r="J525" s="284">
        <f ca="1">IFERROR(__xludf.DUMMYFUNCTION("IMPORTRANGE(""https://docs.google.com/spreadsheets/d/1XL5vhW3sbDhbH9Cz0tuDiY8C3ctxq1tqvaCgkFb8cCA/edit?usp=sharing"",""ยโสธร!J420"")"),0)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IFERROR(__xludf.DUMMYFUNCTION("IMPORTRANGE(""https://docs.google.com/spreadsheets/d/1XL5vhW3sbDhbH9Cz0tuDiY8C3ctxq1tqvaCgkFb8cCA/edit?usp=sharing"",""ยโสธร!I421"")"),0)</f>
        <v>0</v>
      </c>
      <c r="J526" s="284">
        <f ca="1">IFERROR(__xludf.DUMMYFUNCTION("IMPORTRANGE(""https://docs.google.com/spreadsheets/d/1XL5vhW3sbDhbH9Cz0tuDiY8C3ctxq1tqvaCgkFb8cCA/edit?usp=sharing"",""ยโสธร!J421"")"),0)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IFERROR(__xludf.DUMMYFUNCTION("IMPORTRANGE(""https://docs.google.com/spreadsheets/d/1XL5vhW3sbDhbH9Cz0tuDiY8C3ctxq1tqvaCgkFb8cCA/edit?usp=sharing"",""ยโสธร!M428"")"),20800)</f>
        <v>20800</v>
      </c>
      <c r="O533" s="412">
        <f t="shared" ref="O533:O537" ca="1" si="118">+IF(L533&gt;0,N533*100/L533,0)</f>
        <v>60.570762958648807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IFERROR(__xludf.DUMMYFUNCTION("IMPORTRANGE(""https://docs.google.com/spreadsheets/d/1XL5vhW3sbDhbH9Cz0tuDiY8C3ctxq1tqvaCgkFb8cCA/edit?usp=sharing"",""ยโสธร!M430"")"),20800)</f>
        <v>20800</v>
      </c>
      <c r="O535" s="169">
        <f t="shared" ca="1" si="118"/>
        <v>60.570762958648807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IFERROR(__xludf.DUMMYFUNCTION("IMPORTRANGE(""https://docs.google.com/spreadsheets/d/1XL5vhW3sbDhbH9Cz0tuDiY8C3ctxq1tqvaCgkFb8cCA/edit?usp=sharing"",""ยโสธร!M432"")"),20800)</f>
        <v>20800</v>
      </c>
      <c r="O537" s="169">
        <f t="shared" ca="1" si="118"/>
        <v>60.570762958648807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IFERROR(__xludf.DUMMYFUNCTION("IMPORTRANGE(""https://docs.google.com/spreadsheets/d/1XL5vhW3sbDhbH9Cz0tuDiY8C3ctxq1tqvaCgkFb8cCA/edit?usp=sharing"",""ยโสธร!M433"")"),14800)</f>
        <v>14800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IFERROR(__xludf.DUMMYFUNCTION("IMPORTRANGE(""https://docs.google.com/spreadsheets/d/1XL5vhW3sbDhbH9Cz0tuDiY8C3ctxq1tqvaCgkFb8cCA/edit?usp=sharing"",""ยโสธร!M436"")"),6000)</f>
        <v>6000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IFERROR(__xludf.DUMMYFUNCTION("IMPORTRANGE(""https://docs.google.com/spreadsheets/d/1XL5vhW3sbDhbH9Cz0tuDiY8C3ctxq1tqvaCgkFb8cCA/edit?usp=sharing"",""ยโสธร!J459"")"),4448)</f>
        <v>4448</v>
      </c>
      <c r="K564" s="372">
        <f ca="1">IF(I564&gt;0,J564*100/I564,0)</f>
        <v>234.10526315789474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IFERROR(__xludf.DUMMYFUNCTION("IMPORTRANGE(""https://docs.google.com/spreadsheets/d/1XL5vhW3sbDhbH9Cz0tuDiY8C3ctxq1tqvaCgkFb8cCA/edit?usp=sharing"",""ยโสธร!M459"")"),26390)</f>
        <v>26390</v>
      </c>
      <c r="O564" s="373">
        <f t="shared" ref="O564:O568" ca="1" si="122">+IF(L564&gt;0,N564*100/L564,0)</f>
        <v>18.553149606299211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IFERROR(__xludf.DUMMYFUNCTION("IMPORTRANGE(""https://docs.google.com/spreadsheets/d/1XL5vhW3sbDhbH9Cz0tuDiY8C3ctxq1tqvaCgkFb8cCA/edit?usp=sharing"",""ยโสธร!M461"")"),26390)</f>
        <v>26390</v>
      </c>
      <c r="O566" s="169">
        <f t="shared" ca="1" si="122"/>
        <v>18.553149606299211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IFERROR(__xludf.DUMMYFUNCTION("IMPORTRANGE(""https://docs.google.com/spreadsheets/d/1XL5vhW3sbDhbH9Cz0tuDiY8C3ctxq1tqvaCgkFb8cCA/edit?usp=sharing"",""ยโสธร!M463"")"),26390)</f>
        <v>26390</v>
      </c>
      <c r="O568" s="169">
        <f t="shared" ca="1" si="122"/>
        <v>18.553149606299211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IFERROR(__xludf.DUMMYFUNCTION("IMPORTRANGE(""https://docs.google.com/spreadsheets/d/1XL5vhW3sbDhbH9Cz0tuDiY8C3ctxq1tqvaCgkFb8cCA/edit?usp=sharing"",""ยโสธร!M466"")"),0)</f>
        <v>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IFERROR(__xludf.DUMMYFUNCTION("IMPORTRANGE(""https://docs.google.com/spreadsheets/d/1XL5vhW3sbDhbH9Cz0tuDiY8C3ctxq1tqvaCgkFb8cCA/edit?usp=sharing"",""ยโสธร!M467"")"),26390)</f>
        <v>26390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IFERROR(__xludf.DUMMYFUNCTION("IMPORTRANGE(""https://docs.google.com/spreadsheets/d/1XL5vhW3sbDhbH9Cz0tuDiY8C3ctxq1tqvaCgkFb8cCA/edit?usp=sharing"",""ยโสธร!J468"")"),4448)</f>
        <v>4448</v>
      </c>
      <c r="K573" s="202">
        <f ca="1">IF(I573&gt;0,J573*100/I573,0)</f>
        <v>234.10526315789474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IFERROR(__xludf.DUMMYFUNCTION("IMPORTRANGE(""https://docs.google.com/spreadsheets/d/1XL5vhW3sbDhbH9Cz0tuDiY8C3ctxq1tqvaCgkFb8cCA/edit?usp=sharing"",""ยโสธร!J471"")"),202)</f>
        <v>202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IFERROR(__xludf.DUMMYFUNCTION("IMPORTRANGE(""https://docs.google.com/spreadsheets/d/1XL5vhW3sbDhbH9Cz0tuDiY8C3ctxq1tqvaCgkFb8cCA/edit?usp=sharing"",""ยโสธร!J472"")"),4246)</f>
        <v>4246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IFERROR(__xludf.DUMMYFUNCTION("IMPORTRANGE(""https://docs.google.com/spreadsheets/d/1XL5vhW3sbDhbH9Cz0tuDiY8C3ctxq1tqvaCgkFb8cCA/edit?usp=sharing"",""ยโสธร!J475"")"),24)</f>
        <v>24</v>
      </c>
      <c r="K580" s="372">
        <f ca="1">IF(I580&gt;0,J580*100/I580,0)</f>
        <v>24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IFERROR(__xludf.DUMMYFUNCTION("IMPORTRANGE(""https://docs.google.com/spreadsheets/d/1XL5vhW3sbDhbH9Cz0tuDiY8C3ctxq1tqvaCgkFb8cCA/edit?usp=sharing"",""ยโสธร!M475"")"),145813)</f>
        <v>145813</v>
      </c>
      <c r="O580" s="373">
        <f t="shared" ref="O580:O584" ca="1" si="124">+IF(L580&gt;0,N580*100/L580,0)</f>
        <v>47.635739954263315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IFERROR(__xludf.DUMMYFUNCTION("IMPORTRANGE(""https://docs.google.com/spreadsheets/d/1XL5vhW3sbDhbH9Cz0tuDiY8C3ctxq1tqvaCgkFb8cCA/edit?usp=sharing"",""ยโสธร!M477"")"),145813)</f>
        <v>145813</v>
      </c>
      <c r="O582" s="169">
        <f t="shared" ca="1" si="124"/>
        <v>47.635739954263315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IFERROR(__xludf.DUMMYFUNCTION("IMPORTRANGE(""https://docs.google.com/spreadsheets/d/1XL5vhW3sbDhbH9Cz0tuDiY8C3ctxq1tqvaCgkFb8cCA/edit?usp=sharing"",""ยโสธร!M479"")"),145813)</f>
        <v>145813</v>
      </c>
      <c r="O584" s="169">
        <f t="shared" ca="1" si="124"/>
        <v>47.635739954263315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IFERROR(__xludf.DUMMYFUNCTION("IMPORTRANGE(""https://docs.google.com/spreadsheets/d/1XL5vhW3sbDhbH9Cz0tuDiY8C3ctxq1tqvaCgkFb8cCA/edit?usp=sharing"",""ยโสธร!M482"")"),54633)</f>
        <v>54633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IFERROR(__xludf.DUMMYFUNCTION("IMPORTRANGE(""https://docs.google.com/spreadsheets/d/1XL5vhW3sbDhbH9Cz0tuDiY8C3ctxq1tqvaCgkFb8cCA/edit?usp=sharing"",""ยโสธร!M483"")"),91180)</f>
        <v>91180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IFERROR(__xludf.DUMMYFUNCTION("IMPORTRANGE(""https://docs.google.com/spreadsheets/d/1XL5vhW3sbDhbH9Cz0tuDiY8C3ctxq1tqvaCgkFb8cCA/edit?usp=sharing"",""ยโสธร!J484"")"),60)</f>
        <v>60</v>
      </c>
      <c r="K589" s="163">
        <f t="shared" ref="K589:K596" ca="1" si="125">IF(I589&gt;0,J589*100/I589,0)</f>
        <v>60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IFERROR(__xludf.DUMMYFUNCTION("IMPORTRANGE(""https://docs.google.com/spreadsheets/d/1XL5vhW3sbDhbH9Cz0tuDiY8C3ctxq1tqvaCgkFb8cCA/edit?usp=sharing"",""ยโสธร!J485"")"),22.45)</f>
        <v>22.45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IFERROR(__xludf.DUMMYFUNCTION("IMPORTRANGE(""https://docs.google.com/spreadsheets/d/1XL5vhW3sbDhbH9Cz0tuDiY8C3ctxq1tqvaCgkFb8cCA/edit?usp=sharing"",""ยโสธร!J486"")"),73)</f>
        <v>73</v>
      </c>
      <c r="K591" s="163">
        <f t="shared" ca="1" si="125"/>
        <v>73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IFERROR(__xludf.DUMMYFUNCTION("IMPORTRANGE(""https://docs.google.com/spreadsheets/d/1XL5vhW3sbDhbH9Cz0tuDiY8C3ctxq1tqvaCgkFb8cCA/edit?usp=sharing"",""ยโสธร!J487"")"),32.38)</f>
        <v>32.380000000000003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IFERROR(__xludf.DUMMYFUNCTION("IMPORTRANGE(""https://docs.google.com/spreadsheets/d/1XL5vhW3sbDhbH9Cz0tuDiY8C3ctxq1tqvaCgkFb8cCA/edit?usp=sharing"",""ยโสธร!J490"")"),24)</f>
        <v>24</v>
      </c>
      <c r="K595" s="163">
        <f t="shared" ca="1" si="125"/>
        <v>24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IFERROR(__xludf.DUMMYFUNCTION("IMPORTRANGE(""https://docs.google.com/spreadsheets/d/1XL5vhW3sbDhbH9Cz0tuDiY8C3ctxq1tqvaCgkFb8cCA/edit?usp=sharing"",""ยโสธร!I491"")"),0)</f>
        <v>0</v>
      </c>
      <c r="J596" s="241">
        <f ca="1">IFERROR(__xludf.DUMMYFUNCTION("IMPORTRANGE(""https://docs.google.com/spreadsheets/d/1XL5vhW3sbDhbH9Cz0tuDiY8C3ctxq1tqvaCgkFb8cCA/edit?usp=sharing"",""ยโสธร!J491"")"),12.41)</f>
        <v>12.41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7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IFERROR(__xludf.DUMMYFUNCTION("IMPORTRANGE(""https://docs.google.com/spreadsheets/d/1XL5vhW3sbDhbH9Cz0tuDiY8C3ctxq1tqvaCgkFb8cCA/edit?usp=sharing"",""ยโสธร!J166"")"),0)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IFERROR(__xludf.DUMMYFUNCTION("IMPORTRANGE(""https://docs.google.com/spreadsheets/d/1XL5vhW3sbDhbH9Cz0tuDiY8C3ctxq1tqvaCgkFb8cCA/edit?usp=sharing"",""ยโสธร!J166"")"),0)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1">
        <f ca="1">IFERROR(__xludf.DUMMYFUNCTION("IMPORTRANGE(""https://docs.google.com/spreadsheets/d/1XL5vhW3sbDhbH9Cz0tuDiY8C3ctxq1tqvaCgkFb8cCA/edit?usp=sharing"",""ยโสธร!J523"")"),3964993.27)</f>
        <v>3964993.27</v>
      </c>
      <c r="K628" s="342">
        <f t="shared" ref="K628:K635" ca="1" si="129">IF(I628&gt;0,J628*100/I628,0)</f>
        <v>63.486306193466191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IFERROR(__xludf.DUMMYFUNCTION("IMPORTRANGE(""https://docs.google.com/spreadsheets/d/1XL5vhW3sbDhbH9Cz0tuDiY8C3ctxq1tqvaCgkFb8cCA/edit?usp=sharing"",""ยโสธร!I524"")"),625)</f>
        <v>625</v>
      </c>
      <c r="J629" s="341">
        <f ca="1">IFERROR(__xludf.DUMMYFUNCTION("IMPORTRANGE(""https://docs.google.com/spreadsheets/d/1XL5vhW3sbDhbH9Cz0tuDiY8C3ctxq1tqvaCgkFb8cCA/edit?usp=sharing"",""ยโสธร!J524"")"),384)</f>
        <v>384</v>
      </c>
      <c r="K629" s="342">
        <f t="shared" ca="1" si="129"/>
        <v>61.44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IFERROR(__xludf.DUMMYFUNCTION("IMPORTRANGE(""https://docs.google.com/spreadsheets/d/1XL5vhW3sbDhbH9Cz0tuDiY8C3ctxq1tqvaCgkFb8cCA/edit?usp=sharing"",""ยโสธร!I525"")"),4584633.55)</f>
        <v>4584633.55</v>
      </c>
      <c r="J630" s="341">
        <f ca="1">IFERROR(__xludf.DUMMYFUNCTION("IMPORTRANGE(""https://docs.google.com/spreadsheets/d/1XL5vhW3sbDhbH9Cz0tuDiY8C3ctxq1tqvaCgkFb8cCA/edit?usp=sharing"",""ยโสธร!J525"")"),828006.5)</f>
        <v>828006.5</v>
      </c>
      <c r="K630" s="342">
        <f t="shared" ca="1" si="129"/>
        <v>18.06047290300879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IFERROR(__xludf.DUMMYFUNCTION("IMPORTRANGE(""https://docs.google.com/spreadsheets/d/1XL5vhW3sbDhbH9Cz0tuDiY8C3ctxq1tqvaCgkFb8cCA/edit?usp=sharing"",""ยโสธร!I526"")"),275)</f>
        <v>275</v>
      </c>
      <c r="J631" s="341">
        <f ca="1">IFERROR(__xludf.DUMMYFUNCTION("IMPORTRANGE(""https://docs.google.com/spreadsheets/d/1XL5vhW3sbDhbH9Cz0tuDiY8C3ctxq1tqvaCgkFb8cCA/edit?usp=sharing"",""ยโสธร!J526"")"),124)</f>
        <v>124</v>
      </c>
      <c r="K631" s="342">
        <f t="shared" ca="1" si="129"/>
        <v>45.090909090909093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IFERROR(__xludf.DUMMYFUNCTION("IMPORTRANGE(""https://docs.google.com/spreadsheets/d/1XL5vhW3sbDhbH9Cz0tuDiY8C3ctxq1tqvaCgkFb8cCA/edit?usp=sharing"",""ยโสธร!I527"")"),0)</f>
        <v>0</v>
      </c>
      <c r="J632" s="341">
        <f ca="1">IFERROR(__xludf.DUMMYFUNCTION("IMPORTRANGE(""https://docs.google.com/spreadsheets/d/1XL5vhW3sbDhbH9Cz0tuDiY8C3ctxq1tqvaCgkFb8cCA/edit?usp=sharing"",""ยโสธร!J527"")"),80824.28)</f>
        <v>80824.28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IFERROR(__xludf.DUMMYFUNCTION("IMPORTRANGE(""https://docs.google.com/spreadsheets/d/1XL5vhW3sbDhbH9Cz0tuDiY8C3ctxq1tqvaCgkFb8cCA/edit?usp=sharing"",""ยโสธร!I528"")"),0)</f>
        <v>0</v>
      </c>
      <c r="J633" s="341">
        <f ca="1">IFERROR(__xludf.DUMMYFUNCTION("IMPORTRANGE(""https://docs.google.com/spreadsheets/d/1XL5vhW3sbDhbH9Cz0tuDiY8C3ctxq1tqvaCgkFb8cCA/edit?usp=sharing"",""ยโสธร!J528"")"),4)</f>
        <v>4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IFERROR(__xludf.DUMMYFUNCTION("IMPORTRANGE(""https://docs.google.com/spreadsheets/d/1XL5vhW3sbDhbH9Cz0tuDiY8C3ctxq1tqvaCgkFb8cCA/edit?usp=sharing"",""ยโสธร!I529"")"),7700000)</f>
        <v>7700000</v>
      </c>
      <c r="J634" s="341">
        <f ca="1">IFERROR(__xludf.DUMMYFUNCTION("IMPORTRANGE(""https://docs.google.com/spreadsheets/d/1XL5vhW3sbDhbH9Cz0tuDiY8C3ctxq1tqvaCgkFb8cCA/edit?usp=sharing"",""ยโสธร!J529"")"),2880000)</f>
        <v>2880000</v>
      </c>
      <c r="K634" s="342">
        <f t="shared" ca="1" si="129"/>
        <v>37.402597402597401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IFERROR(__xludf.DUMMYFUNCTION("IMPORTRANGE(""https://docs.google.com/spreadsheets/d/1XL5vhW3sbDhbH9Cz0tuDiY8C3ctxq1tqvaCgkFb8cCA/edit?usp=sharing"",""ยโสธร!I530"")"),300)</f>
        <v>300</v>
      </c>
      <c r="J635" s="504">
        <f ca="1">IFERROR(__xludf.DUMMYFUNCTION("IMPORTRANGE(""https://docs.google.com/spreadsheets/d/1XL5vhW3sbDhbH9Cz0tuDiY8C3ctxq1tqvaCgkFb8cCA/edit?usp=sharing"",""ยโสธร!J530"")"),86)</f>
        <v>86</v>
      </c>
      <c r="K635" s="486">
        <f t="shared" ca="1" si="129"/>
        <v>28.666666666666668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IFERROR(__xludf.DUMMYFUNCTION("IMPORTRANGE(""https://docs.google.com/spreadsheets/d/1XL5vhW3sbDhbH9Cz0tuDiY8C3ctxq1tqvaCgkFb8cCA/edit#gid=346597447"",""ยโสธร!J541"")"),0)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IFERROR(__xludf.DUMMYFUNCTION("IMPORTRANGE(""https://docs.google.com/spreadsheets/d/1XL5vhW3sbDhbH9Cz0tuDiY8C3ctxq1tqvaCgkFb8cCA/edit#gid=346597447"",""ยโสธร!J542"")"),0)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IFERROR(__xludf.DUMMYFUNCTION("IMPORTRANGE(""https://docs.google.com/spreadsheets/d/1XL5vhW3sbDhbH9Cz0tuDiY8C3ctxq1tqvaCgkFb8cCA/edit#gid=346597447"",""ยโสธร!I543"")"),0)</f>
        <v>0</v>
      </c>
      <c r="J648" s="585">
        <f ca="1">IFERROR(__xludf.DUMMYFUNCTION("IMPORTRANGE(""https://docs.google.com/spreadsheets/d/1XL5vhW3sbDhbH9Cz0tuDiY8C3ctxq1tqvaCgkFb8cCA/edit#gid=346597447"",""ยโสธร!J543"")"),0)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IFERROR(__xludf.DUMMYFUNCTION("IMPORTRANGE(""https://docs.google.com/spreadsheets/d/1XL5vhW3sbDhbH9Cz0tuDiY8C3ctxq1tqvaCgkFb8cCA/edit#gid=346597447"",""ยโสธร!L543"")"),0)</f>
        <v>0</v>
      </c>
      <c r="M648" s="570"/>
      <c r="N648" s="587">
        <f ca="1">IFERROR(__xludf.DUMMYFUNCTION("IMPORTRANGE(""https://docs.google.com/spreadsheets/d/1XL5vhW3sbDhbH9Cz0tuDiY8C3ctxq1tqvaCgkFb8cCA/edit#gid=346597447"",""ยโสธร!M543"")"),0)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IFERROR(__xludf.DUMMYFUNCTION("IMPORTRANGE(""https://docs.google.com/spreadsheets/d/1XL5vhW3sbDhbH9Cz0tuDiY8C3ctxq1tqvaCgkFb8cCA/edit#gid=346597447"",""ยโสธร!I544"")"),0)</f>
        <v>0</v>
      </c>
      <c r="J649" s="585">
        <f ca="1">IFERROR(__xludf.DUMMYFUNCTION("IMPORTRANGE(""https://docs.google.com/spreadsheets/d/1XL5vhW3sbDhbH9Cz0tuDiY8C3ctxq1tqvaCgkFb8cCA/edit#gid=346597447"",""ยโสธร!J544"")"),0)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IFERROR(__xludf.DUMMYFUNCTION("IMPORTRANGE(""https://docs.google.com/spreadsheets/d/1XL5vhW3sbDhbH9Cz0tuDiY8C3ctxq1tqvaCgkFb8cCA/edit#gid=346597447"",""ยโสธร!L544"")"),0)</f>
        <v>0</v>
      </c>
      <c r="M649" s="570"/>
      <c r="N649" s="587">
        <f ca="1">IFERROR(__xludf.DUMMYFUNCTION("IMPORTRANGE(""https://docs.google.com/spreadsheets/d/1XL5vhW3sbDhbH9Cz0tuDiY8C3ctxq1tqvaCgkFb8cCA/edit#gid=346597447"",""ยโสธร!M544"")"),0)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IFERROR(__xludf.DUMMYFUNCTION("IMPORTRANGE(""https://docs.google.com/spreadsheets/d/1XL5vhW3sbDhbH9Cz0tuDiY8C3ctxq1tqvaCgkFb8cCA/edit#gid=346597447"",""ยโสธร!I545"")"),0)</f>
        <v>0</v>
      </c>
      <c r="J650" s="585">
        <f ca="1">IFERROR(__xludf.DUMMYFUNCTION("IMPORTRANGE(""https://docs.google.com/spreadsheets/d/1XL5vhW3sbDhbH9Cz0tuDiY8C3ctxq1tqvaCgkFb8cCA/edit#gid=346597447"",""ยโสธร!J545"")"),0)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IFERROR(__xludf.DUMMYFUNCTION("IMPORTRANGE(""https://docs.google.com/spreadsheets/d/1XL5vhW3sbDhbH9Cz0tuDiY8C3ctxq1tqvaCgkFb8cCA/edit#gid=346597447"",""ยโสธร!L545"")"),0)</f>
        <v>0</v>
      </c>
      <c r="M650" s="570"/>
      <c r="N650" s="587">
        <f ca="1">IFERROR(__xludf.DUMMYFUNCTION("IMPORTRANGE(""https://docs.google.com/spreadsheets/d/1XL5vhW3sbDhbH9Cz0tuDiY8C3ctxq1tqvaCgkFb8cCA/edit#gid=346597447"",""ยโสธร!M545"")"),0)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IFERROR(__xludf.DUMMYFUNCTION("IMPORTRANGE(""https://docs.google.com/spreadsheets/d/1XL5vhW3sbDhbH9Cz0tuDiY8C3ctxq1tqvaCgkFb8cCA/edit#gid=346597447"",""ยโสธร!I546"")"),0)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IFERROR(__xludf.DUMMYFUNCTION("IMPORTRANGE(""https://docs.google.com/spreadsheets/d/1XL5vhW3sbDhbH9Cz0tuDiY8C3ctxq1tqvaCgkFb8cCA/edit#gid=346597447"",""ยโสธร!L546"")"),0)</f>
        <v>0</v>
      </c>
      <c r="M651" s="570"/>
      <c r="N651" s="587">
        <f ca="1">IFERROR(__xludf.DUMMYFUNCTION("IMPORTRANGE(""https://docs.google.com/spreadsheets/d/1XL5vhW3sbDhbH9Cz0tuDiY8C3ctxq1tqvaCgkFb8cCA/edit#gid=346597447"",""ยโสธร!M546"")"),0)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IFERROR(__xludf.DUMMYFUNCTION("IMPORTRANGE(""https://docs.google.com/spreadsheets/d/1XL5vhW3sbDhbH9Cz0tuDiY8C3ctxq1tqvaCgkFb8cCA/edit#gid=346597447"",""ยโสธร!J547"")"),0)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IFERROR(__xludf.DUMMYFUNCTION("IMPORTRANGE(""https://docs.google.com/spreadsheets/d/1XL5vhW3sbDhbH9Cz0tuDiY8C3ctxq1tqvaCgkFb8cCA/edit#gid=346597447"",""ยโสธร!J548"")"),0)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IFERROR(__xludf.DUMMYFUNCTION("IMPORTRANGE(""https://docs.google.com/spreadsheets/d/1XL5vhW3sbDhbH9Cz0tuDiY8C3ctxq1tqvaCgkFb8cCA/edit#gid=346597447"",""ยโสธร!J550"")"),0)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IFERROR(__xludf.DUMMYFUNCTION("IMPORTRANGE(""https://docs.google.com/spreadsheets/d/1XL5vhW3sbDhbH9Cz0tuDiY8C3ctxq1tqvaCgkFb8cCA/edit#gid=346597447"",""ยโสธร!J551"")"),0)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IFERROR(__xludf.DUMMYFUNCTION("IMPORTRANGE(""https://docs.google.com/spreadsheets/d/1XL5vhW3sbDhbH9Cz0tuDiY8C3ctxq1tqvaCgkFb8cCA/edit#gid=346597447"",""ยโสธร!J552"")"),0)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IFERROR(__xludf.DUMMYFUNCTION("IMPORTRANGE(""https://docs.google.com/spreadsheets/d/1XL5vhW3sbDhbH9Cz0tuDiY8C3ctxq1tqvaCgkFb8cCA/edit#gid=346597447"",""ยโสธร!J553"")"),0)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IFERROR(__xludf.DUMMYFUNCTION("IMPORTRANGE(""https://docs.google.com/spreadsheets/d/1XL5vhW3sbDhbH9Cz0tuDiY8C3ctxq1tqvaCgkFb8cCA/edit#gid=346597447"",""ยโสธร!J554"")"),0)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IFERROR(__xludf.DUMMYFUNCTION("IMPORTRANGE(""https://docs.google.com/spreadsheets/d/1XL5vhW3sbDhbH9Cz0tuDiY8C3ctxq1tqvaCgkFb8cCA/edit#gid=346597447"",""ยโสธร!J555"")"),0)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IFERROR(__xludf.DUMMYFUNCTION("IMPORTRANGE(""https://docs.google.com/spreadsheets/d/1XL5vhW3sbDhbH9Cz0tuDiY8C3ctxq1tqvaCgkFb8cCA/edit#gid=346597447"",""ยโสธร!J556"")"),0)</f>
        <v>0</v>
      </c>
      <c r="K661" s="586"/>
      <c r="L661" s="571">
        <f ca="1">IFERROR(__xludf.DUMMYFUNCTION("IMPORTRANGE(""https://docs.google.com/spreadsheets/d/1XL5vhW3sbDhbH9Cz0tuDiY8C3ctxq1tqvaCgkFb8cCA/edit#gid=346597447"",""ยโสธร!L556"")"),0)</f>
        <v>0</v>
      </c>
      <c r="M661" s="570"/>
      <c r="N661" s="587">
        <f ca="1">IFERROR(__xludf.DUMMYFUNCTION("IMPORTRANGE(""https://docs.google.com/spreadsheets/d/1XL5vhW3sbDhbH9Cz0tuDiY8C3ctxq1tqvaCgkFb8cCA/edit#gid=346597447"",""ยโสธร!M556"")"),0)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IFERROR(__xludf.DUMMYFUNCTION("IMPORTRANGE(""https://docs.google.com/spreadsheets/d/1XL5vhW3sbDhbH9Cz0tuDiY8C3ctxq1tqvaCgkFb8cCA/edit#gid=346597447"",""ยโสธร!J557"")"),0)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IFERROR(__xludf.DUMMYFUNCTION("IMPORTRANGE(""https://docs.google.com/spreadsheets/d/1XL5vhW3sbDhbH9Cz0tuDiY8C3ctxq1tqvaCgkFb8cCA/edit#gid=346597447"",""ยโสธร!I558"")"),0)</f>
        <v>0</v>
      </c>
      <c r="J663" s="585">
        <f ca="1">IFERROR(__xludf.DUMMYFUNCTION("IMPORTRANGE(""https://docs.google.com/spreadsheets/d/1XL5vhW3sbDhbH9Cz0tuDiY8C3ctxq1tqvaCgkFb8cCA/edit#gid=346597447"",""ยโสธร!J558"")"),0)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IFERROR(__xludf.DUMMYFUNCTION("IMPORTRANGE(""https://docs.google.com/spreadsheets/d/1XL5vhW3sbDhbH9Cz0tuDiY8C3ctxq1tqvaCgkFb8cCA/edit#gid=346597447"",""ยโสธร!I560"")"),0)</f>
        <v>0</v>
      </c>
      <c r="J665" s="585">
        <f ca="1">IFERROR(__xludf.DUMMYFUNCTION("IMPORTRANGE(""https://docs.google.com/spreadsheets/d/1XL5vhW3sbDhbH9Cz0tuDiY8C3ctxq1tqvaCgkFb8cCA/edit#gid=346597447"",""ยโสธร!J560"")"),0)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IFERROR(__xludf.DUMMYFUNCTION("IMPORTRANGE(""https://docs.google.com/spreadsheets/d/1XL5vhW3sbDhbH9Cz0tuDiY8C3ctxq1tqvaCgkFb8cCA/edit#gid=346597447"",""ยโสธร!L560"")"),0)</f>
        <v>0</v>
      </c>
      <c r="M665" s="570"/>
      <c r="N665" s="587">
        <f ca="1">IFERROR(__xludf.DUMMYFUNCTION("IMPORTRANGE(""https://docs.google.com/spreadsheets/d/1XL5vhW3sbDhbH9Cz0tuDiY8C3ctxq1tqvaCgkFb8cCA/edit#gid=346597447"",""ยโสธร!M560"")"),0)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IFERROR(__xludf.DUMMYFUNCTION("IMPORTRANGE(""https://docs.google.com/spreadsheets/d/1XL5vhW3sbDhbH9Cz0tuDiY8C3ctxq1tqvaCgkFb8cCA/edit#gid=346597447"",""ยโสธร!J561"")"),0)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IFERROR(__xludf.DUMMYFUNCTION("IMPORTRANGE(""https://docs.google.com/spreadsheets/d/1XL5vhW3sbDhbH9Cz0tuDiY8C3ctxq1tqvaCgkFb8cCA/edit#gid=346597447"",""ยโสธร!J562"")"),0)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IFERROR(__xludf.DUMMYFUNCTION("IMPORTRANGE(""https://docs.google.com/spreadsheets/d/1XL5vhW3sbDhbH9Cz0tuDiY8C3ctxq1tqvaCgkFb8cCA/edit#gid=346597447"",""ยโสธร!I563"")"),0)</f>
        <v>0</v>
      </c>
      <c r="J668" s="585">
        <f ca="1">IFERROR(__xludf.DUMMYFUNCTION("IMPORTRANGE(""https://docs.google.com/spreadsheets/d/1XL5vhW3sbDhbH9Cz0tuDiY8C3ctxq1tqvaCgkFb8cCA/edit#gid=346597447"",""ยโสธร!J563"")"),0)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IFERROR(__xludf.DUMMYFUNCTION("IMPORTRANGE(""https://docs.google.com/spreadsheets/d/1XL5vhW3sbDhbH9Cz0tuDiY8C3ctxq1tqvaCgkFb8cCA/edit#gid=346597447"",""ยโสธร!L563"")"),0)</f>
        <v>0</v>
      </c>
      <c r="M668" s="570"/>
      <c r="N668" s="587">
        <f ca="1">IFERROR(__xludf.DUMMYFUNCTION("IMPORTRANGE(""https://docs.google.com/spreadsheets/d/1XL5vhW3sbDhbH9Cz0tuDiY8C3ctxq1tqvaCgkFb8cCA/edit#gid=346597447"",""ยโสธร!M563"")"),0)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IFERROR(__xludf.DUMMYFUNCTION("IMPORTRANGE(""https://docs.google.com/spreadsheets/d/1XL5vhW3sbDhbH9Cz0tuDiY8C3ctxq1tqvaCgkFb8cCA/edit#gid=346597447"",""ยโสธร!J564"")"),0)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IFERROR(__xludf.DUMMYFUNCTION("IMPORTRANGE(""https://docs.google.com/spreadsheets/d/1XL5vhW3sbDhbH9Cz0tuDiY8C3ctxq1tqvaCgkFb8cCA/edit#gid=346597447"",""ยโสธร!J565"")"),0)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IFERROR(__xludf.DUMMYFUNCTION("IMPORTRANGE(""https://docs.google.com/spreadsheets/d/1XL5vhW3sbDhbH9Cz0tuDiY8C3ctxq1tqvaCgkFb8cCA/edit#gid=346597447"",""ยโสธร!I566"")"),0)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IFERROR(__xludf.DUMMYFUNCTION("IMPORTRANGE(""https://docs.google.com/spreadsheets/d/1XL5vhW3sbDhbH9Cz0tuDiY8C3ctxq1tqvaCgkFb8cCA/edit#gid=346597447"",""ยโสธร!L566"")"),0)</f>
        <v>0</v>
      </c>
      <c r="M671" s="570"/>
      <c r="N671" s="587">
        <f ca="1">IFERROR(__xludf.DUMMYFUNCTION("IMPORTRANGE(""https://docs.google.com/spreadsheets/d/1XL5vhW3sbDhbH9Cz0tuDiY8C3ctxq1tqvaCgkFb8cCA/edit#gid=346597447"",""ยโสธร!M566"")"),0)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IFERROR(__xludf.DUMMYFUNCTION("IMPORTRANGE(""https://docs.google.com/spreadsheets/d/1XL5vhW3sbDhbH9Cz0tuDiY8C3ctxq1tqvaCgkFb8cCA/edit#gid=346597447"",""ยโสธร!J567"")"),0)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IFERROR(__xludf.DUMMYFUNCTION("IMPORTRANGE(""https://docs.google.com/spreadsheets/d/1XL5vhW3sbDhbH9Cz0tuDiY8C3ctxq1tqvaCgkFb8cCA/edit#gid=346597447"",""ยโสธร!J568"")"),0)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IFERROR(__xludf.DUMMYFUNCTION("IMPORTRANGE(""https://docs.google.com/spreadsheets/d/1XL5vhW3sbDhbH9Cz0tuDiY8C3ctxq1tqvaCgkFb8cCA/edit#gid=346597447"",""ยโสธร!J569"")"),0)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IFERROR(__xludf.DUMMYFUNCTION("IMPORTRANGE(""https://docs.google.com/spreadsheets/d/1XL5vhW3sbDhbH9Cz0tuDiY8C3ctxq1tqvaCgkFb8cCA/edit#gid=346597447"",""ยโสธร!J570"")"),0)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IFERROR(__xludf.DUMMYFUNCTION("IMPORTRANGE(""https://docs.google.com/spreadsheets/d/1XL5vhW3sbDhbH9Cz0tuDiY8C3ctxq1tqvaCgkFb8cCA/edit#gid=346597447"",""ยโสธร!J571"")"),0)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IFERROR(__xludf.DUMMYFUNCTION("IMPORTRANGE(""https://docs.google.com/spreadsheets/d/1XL5vhW3sbDhbH9Cz0tuDiY8C3ctxq1tqvaCgkFb8cCA/edit#gid=346597447"",""ยโสธร!J572"")"),0)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3" sqref="G1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4.28515625" customWidth="1"/>
    <col min="8" max="8" width="10.85546875" customWidth="1"/>
    <col min="9" max="9" width="16.5703125" bestFit="1" customWidth="1"/>
    <col min="10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280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7126443</v>
      </c>
      <c r="M8" s="23">
        <f t="shared" ca="1" si="0"/>
        <v>3448140</v>
      </c>
      <c r="N8" s="23">
        <f t="shared" ca="1" si="0"/>
        <v>4462355.67</v>
      </c>
      <c r="O8" s="22">
        <f t="shared" ref="O8:O16" ca="1" si="1">IF(L8&gt;0,N8*100/L8,0)</f>
        <v>62.616871698826472</v>
      </c>
      <c r="P8" s="22">
        <f t="shared" ref="P8:P16" ca="1" si="2">IF(M8&gt;0,N8*100/M8,0)</f>
        <v>129.41341331848474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7126443</v>
      </c>
      <c r="M10" s="30">
        <f t="shared" ca="1" si="4"/>
        <v>3448140</v>
      </c>
      <c r="N10" s="30">
        <f t="shared" ca="1" si="4"/>
        <v>4462355.67</v>
      </c>
      <c r="O10" s="29">
        <f t="shared" ca="1" si="1"/>
        <v>62.616871698826472</v>
      </c>
      <c r="P10" s="29">
        <f t="shared" ca="1" si="2"/>
        <v>129.41341331848474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6942443</v>
      </c>
      <c r="M12" s="38">
        <f t="shared" ca="1" si="6"/>
        <v>3264140</v>
      </c>
      <c r="N12" s="38">
        <f t="shared" ca="1" si="6"/>
        <v>4278355.67</v>
      </c>
      <c r="O12" s="38">
        <f t="shared" ca="1" si="1"/>
        <v>61.626082778065303</v>
      </c>
      <c r="P12" s="38">
        <f t="shared" ca="1" si="2"/>
        <v>131.07145128579043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4401343</v>
      </c>
      <c r="M14" s="38">
        <f t="shared" si="8"/>
        <v>0</v>
      </c>
      <c r="N14" s="38">
        <f t="shared" ca="1" si="8"/>
        <v>1718269.54</v>
      </c>
      <c r="O14" s="38">
        <f t="shared" ca="1" si="1"/>
        <v>39.039664484226748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184000</v>
      </c>
      <c r="M16" s="38">
        <f t="shared" ca="1" si="10"/>
        <v>184000</v>
      </c>
      <c r="N16" s="38">
        <f t="shared" ca="1" si="10"/>
        <v>184000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4251990</v>
      </c>
      <c r="M18" s="23">
        <f t="shared" ca="1" si="11"/>
        <v>3448140</v>
      </c>
      <c r="N18" s="23">
        <f t="shared" ca="1" si="11"/>
        <v>2744086.13</v>
      </c>
      <c r="O18" s="22">
        <f t="shared" ref="O18:O20" ca="1" si="12">IF(L18&gt;0,N18*100/L18,0)</f>
        <v>64.536514196881924</v>
      </c>
      <c r="P18" s="22">
        <f t="shared" ref="P18:P26" ca="1" si="13">IF(M18&gt;0,N18*100/M18,0)</f>
        <v>79.581633286351476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4251990</v>
      </c>
      <c r="M20" s="30">
        <f t="shared" ca="1" si="15"/>
        <v>3448140</v>
      </c>
      <c r="N20" s="30">
        <f t="shared" ca="1" si="15"/>
        <v>2744086.13</v>
      </c>
      <c r="O20" s="29">
        <f t="shared" ca="1" si="12"/>
        <v>64.536514196881924</v>
      </c>
      <c r="P20" s="29">
        <f t="shared" ca="1" si="13"/>
        <v>79.581633286351476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4067990</v>
      </c>
      <c r="M22" s="41">
        <f t="shared" ca="1" si="18"/>
        <v>3264140</v>
      </c>
      <c r="N22" s="38">
        <f t="shared" ca="1" si="18"/>
        <v>2560086.13</v>
      </c>
      <c r="O22" s="38">
        <f t="shared" ca="1" si="17"/>
        <v>62.932458781855409</v>
      </c>
      <c r="P22" s="38">
        <f t="shared" ca="1" si="13"/>
        <v>78.430647276158496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1526890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184000</v>
      </c>
      <c r="M26" s="49">
        <f t="shared" ca="1" si="22"/>
        <v>184000</v>
      </c>
      <c r="N26" s="49">
        <f t="shared" ca="1" si="22"/>
        <v>184000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2874453</v>
      </c>
      <c r="M28" s="23">
        <f t="shared" si="23"/>
        <v>0</v>
      </c>
      <c r="N28" s="23">
        <f t="shared" ca="1" si="23"/>
        <v>1718269.54</v>
      </c>
      <c r="O28" s="22">
        <f t="shared" ref="O28:O30" ca="1" si="24">IF(L28&gt;0,N28*100/L28,0)</f>
        <v>59.777270318909373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2874453</v>
      </c>
      <c r="M30" s="30">
        <f t="shared" si="27"/>
        <v>0</v>
      </c>
      <c r="N30" s="30">
        <f t="shared" ca="1" si="27"/>
        <v>1718269.54</v>
      </c>
      <c r="O30" s="29">
        <f t="shared" ca="1" si="24"/>
        <v>59.777270318909373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2874453</v>
      </c>
      <c r="M32" s="38">
        <f t="shared" si="30"/>
        <v>0</v>
      </c>
      <c r="N32" s="38">
        <f t="shared" ca="1" si="30"/>
        <v>1718269.54</v>
      </c>
      <c r="O32" s="38">
        <f t="shared" ca="1" si="29"/>
        <v>59.777270318909373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2874453</v>
      </c>
      <c r="M34" s="38">
        <f t="shared" si="32"/>
        <v>0</v>
      </c>
      <c r="N34" s="38">
        <f t="shared" ca="1" si="32"/>
        <v>1718269.54</v>
      </c>
      <c r="O34" s="38">
        <f t="shared" ca="1" si="29"/>
        <v>59.777270318909373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4251990</v>
      </c>
      <c r="M37" s="54">
        <f t="shared" ca="1" si="33"/>
        <v>3448140</v>
      </c>
      <c r="N37" s="54">
        <f t="shared" ca="1" si="33"/>
        <v>2744086.13</v>
      </c>
      <c r="O37" s="55">
        <f t="shared" ca="1" si="29"/>
        <v>64.536514196881924</v>
      </c>
      <c r="P37" s="55">
        <f t="shared" ca="1" si="25"/>
        <v>79.581633286351476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678100</v>
      </c>
      <c r="N41" s="78">
        <f t="shared" ca="1" si="34"/>
        <v>552719</v>
      </c>
      <c r="O41" s="77">
        <f t="shared" ref="O41:O43" ca="1" si="35">IF(L41&gt;0,N41*100/L41,0)</f>
        <v>61.134719610662536</v>
      </c>
      <c r="P41" s="77">
        <f t="shared" ref="P41:P43" ca="1" si="36">IF(M41&gt;0,N41*100/M41,0)</f>
        <v>81.509954284028908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678100</v>
      </c>
      <c r="N43" s="78">
        <f t="shared" ca="1" si="38"/>
        <v>552719</v>
      </c>
      <c r="O43" s="77">
        <f t="shared" ca="1" si="35"/>
        <v>61.134719610662536</v>
      </c>
      <c r="P43" s="77">
        <f t="shared" ca="1" si="36"/>
        <v>81.509954284028908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622">
        <f ca="1">IFERROR(__xludf.DUMMYFUNCTION("IMPORTRANGE(""https://docs.google.com/spreadsheets/d/1Yj_ptqi66GCucihVvJfMjLAmec39IyEx_6qawtMGysU/edit?usp=sharing"",""สบก!Q48"")"),678100)</f>
        <v>678100</v>
      </c>
      <c r="N45" s="622">
        <f ca="1">IFERROR(__xludf.DUMMYFUNCTION("IMPORTRANGE(""https://docs.google.com/spreadsheets/d/1Yj_ptqi66GCucihVvJfMjLAmec39IyEx_6qawtMGysU/edit?usp=sharing"",""สบก!R48"")"),552719)</f>
        <v>552719</v>
      </c>
      <c r="O45" s="623">
        <f ca="1">IF(L45&gt;0,N45*100/L45,0)</f>
        <v>61.134719610662536</v>
      </c>
      <c r="P45" s="623">
        <f ca="1">IF(M45&gt;0,N45*100/M45,0)</f>
        <v>81.509954284028908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IFERROR(__xludf.DUMMYFUNCTION("IMPORTRANGE(""https://docs.google.com/spreadsheets/d/1Yj_ptqi66GCucihVvJfMjLAmec39IyEx_6qawtMGysU/edit?usp=sharing"",""สบก!M48"")"),904100)</f>
        <v>904100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IFERROR(__xludf.DUMMYFUNCTION("IMPORTRANGE(""https://docs.google.com/spreadsheets/d/1Yj_ptqi66GCucihVvJfMjLAmec39IyEx_6qawtMGysU/edit?usp=sharing"",""สบก!N48"")"),0)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IFERROR(__xludf.DUMMYFUNCTION("IMPORTRANGE(""https://docs.google.com/spreadsheets/d/1Yj_ptqi66GCucihVvJfMjLAmec39IyEx_6qawtMGysU/edit?usp=sharing"",""สบก!O48"")"),0)</f>
        <v>0</v>
      </c>
      <c r="M49" s="625"/>
      <c r="N49" s="622">
        <f ca="1">IFERROR(__xludf.DUMMYFUNCTION("IMPORTRANGE(""https://docs.google.com/spreadsheets/d/1Yj_ptqi66GCucihVvJfMjLAmec39IyEx_6qawtMGysU/edit?usp=sharing"",""สบก!S48"")"),0)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979200</v>
      </c>
      <c r="M53" s="121">
        <f t="shared" ca="1" si="39"/>
        <v>763195</v>
      </c>
      <c r="N53" s="121">
        <f t="shared" ca="1" si="39"/>
        <v>613294</v>
      </c>
      <c r="O53" s="120">
        <f t="shared" ref="O53:O55" ca="1" si="40">IF(L53&gt;0,N53*100/L53,0)</f>
        <v>62.63214869281046</v>
      </c>
      <c r="P53" s="120">
        <f t="shared" ref="P53:P55" ca="1" si="41">IF(M53&gt;0,N53*100/M53,0)</f>
        <v>80.358754970879005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979200</v>
      </c>
      <c r="M55" s="121">
        <f t="shared" ca="1" si="43"/>
        <v>763195</v>
      </c>
      <c r="N55" s="121">
        <f t="shared" ca="1" si="43"/>
        <v>613294</v>
      </c>
      <c r="O55" s="120">
        <f t="shared" ca="1" si="40"/>
        <v>62.63214869281046</v>
      </c>
      <c r="P55" s="120">
        <f t="shared" ca="1" si="41"/>
        <v>80.358754970879005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979200</v>
      </c>
      <c r="M57" s="622">
        <f ca="1">IFERROR(__xludf.DUMMYFUNCTION("IMPORTRANGE(""https://docs.google.com/spreadsheets/d/1Yj_ptqi66GCucihVvJfMjLAmec39IyEx_6qawtMGysU/edit?usp=sharing"",""สบก!Z48"")"),763195)</f>
        <v>763195</v>
      </c>
      <c r="N57" s="622">
        <f ca="1">IFERROR(__xludf.DUMMYFUNCTION("IMPORTRANGE(""https://docs.google.com/spreadsheets/d/1Yj_ptqi66GCucihVvJfMjLAmec39IyEx_6qawtMGysU/edit?usp=sharing"",""สบก!AA48"")"),613294)</f>
        <v>613294</v>
      </c>
      <c r="O57" s="623">
        <f ca="1">IF(L57&gt;0,N57*100/L57,0)</f>
        <v>62.63214869281046</v>
      </c>
      <c r="P57" s="623">
        <f ca="1">IF(M57&gt;0,N57*100/M57,0)</f>
        <v>80.358754970879005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IFERROR(__xludf.DUMMYFUNCTION("IMPORTRANGE(""https://docs.google.com/spreadsheets/d/1Yj_ptqi66GCucihVvJfMjLAmec39IyEx_6qawtMGysU/edit?usp=sharing"",""สบก!V48"")"),979200)</f>
        <v>979200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IFERROR(__xludf.DUMMYFUNCTION("IMPORTRANGE(""https://docs.google.com/spreadsheets/d/1Yj_ptqi66GCucihVvJfMjLAmec39IyEx_6qawtMGysU/edit?usp=sharing"",""สบก!W48"")"),0)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IFERROR(__xludf.DUMMYFUNCTION("IMPORTRANGE(""https://docs.google.com/spreadsheets/d/1Yj_ptqi66GCucihVvJfMjLAmec39IyEx_6qawtMGysU/edit?usp=sharing"",""สบก!X48"")"),0)</f>
        <v>0</v>
      </c>
      <c r="M61" s="625"/>
      <c r="N61" s="622">
        <f ca="1">IFERROR(__xludf.DUMMYFUNCTION("IMPORTRANGE(""https://docs.google.com/spreadsheets/d/1Yj_ptqi66GCucihVvJfMjLAmec39IyEx_6qawtMGysU/edit?usp=sharing"",""สบก!AB48"")"),0)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887400</v>
      </c>
      <c r="M66" s="152">
        <f t="shared" ca="1" si="45"/>
        <v>709120</v>
      </c>
      <c r="N66" s="152">
        <f t="shared" ca="1" si="45"/>
        <v>620544.15</v>
      </c>
      <c r="O66" s="151">
        <f t="shared" ref="O66:O68" ca="1" si="46">IF(L66&gt;0,N66*100/L66,0)</f>
        <v>69.928346855983776</v>
      </c>
      <c r="P66" s="151">
        <f t="shared" ref="P66:P68" ca="1" si="47">IF(M66&gt;0,N66*100/M66,0)</f>
        <v>87.509046423736464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887400</v>
      </c>
      <c r="M68" s="157">
        <f t="shared" ca="1" si="49"/>
        <v>709120</v>
      </c>
      <c r="N68" s="157">
        <f t="shared" ca="1" si="49"/>
        <v>620544.15</v>
      </c>
      <c r="O68" s="156">
        <f t="shared" ca="1" si="46"/>
        <v>69.928346855983776</v>
      </c>
      <c r="P68" s="156">
        <f t="shared" ca="1" si="47"/>
        <v>87.509046423736464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887400</v>
      </c>
      <c r="M70" s="626">
        <f ca="1">IFERROR(__xludf.DUMMYFUNCTION("IMPORTRANGE(""https://docs.google.com/spreadsheets/d/1Yj_ptqi66GCucihVvJfMjLAmec39IyEx_6qawtMGysU/edit?usp=sharing"",""สบก!AI48"")"),709120)</f>
        <v>709120</v>
      </c>
      <c r="N70" s="627">
        <f ca="1">IFERROR(__xludf.DUMMYFUNCTION("IMPORTRANGE(""https://docs.google.com/spreadsheets/d/1Yj_ptqi66GCucihVvJfMjLAmec39IyEx_6qawtMGysU/edit?usp=sharing"",""สบก!AJ48"")"),620544.15)</f>
        <v>620544.15</v>
      </c>
      <c r="O70" s="169">
        <f ca="1">IF(L70&gt;0,N70*100/L70,0)</f>
        <v>69.928346855983776</v>
      </c>
      <c r="P70" s="169">
        <f ca="1">IF(M70&gt;0,N70*100/M70,0)</f>
        <v>87.509046423736464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IFERROR(__xludf.DUMMYFUNCTION("IMPORTRANGE(""https://docs.google.com/spreadsheets/d/1Yj_ptqi66GCucihVvJfMjLAmec39IyEx_6qawtMGysU/edit?usp=sharing"",""สบก!AF48"")"),424000)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IFERROR(__xludf.DUMMYFUNCTION("IMPORTRANGE(""https://docs.google.com/spreadsheets/d/1Yj_ptqi66GCucihVvJfMjLAmec39IyEx_6qawtMGysU/edit?usp=sharing"",""สบก!AG48"")"),0)</f>
        <v>0</v>
      </c>
      <c r="M74" s="625"/>
      <c r="N74" s="622">
        <f ca="1">IFERROR(__xludf.DUMMYFUNCTION("IMPORTRANGE(""https://docs.google.com/spreadsheets/d/1Yj_ptqi66GCucihVvJfMjLAmec39IyEx_6qawtMGysU/edit?usp=sharing"",""สบก!AK48"")"),0)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IFERROR(__xludf.DUMMYFUNCTION("IMPORTRANGE(""https://docs.google.com/spreadsheets/d/1XL5vhW3sbDhbH9Cz0tuDiY8C3ctxq1tqvaCgkFb8cCA/edit?usp=sharing"",""ร้อยเอ็ด!I28"")"),0)</f>
        <v>0</v>
      </c>
      <c r="J88" s="204">
        <f ca="1">IFERROR(__xludf.DUMMYFUNCTION("IMPORTRANGE(""https://docs.google.com/spreadsheets/d/1XL5vhW3sbDhbH9Cz0tuDiY8C3ctxq1tqvaCgkFb8cCA/edit?usp=sharing"",""ร้อยเอ็ด!J28"")"),1)</f>
        <v>1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IFERROR(__xludf.DUMMYFUNCTION("IMPORTRANGE(""https://docs.google.com/spreadsheets/d/1XL5vhW3sbDhbH9Cz0tuDiY8C3ctxq1tqvaCgkFb8cCA/edit?usp=sharing"",""ร้อยเอ็ด!J30"")"),0)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IFERROR(__xludf.DUMMYFUNCTION("IMPORTRANGE(""https://docs.google.com/spreadsheets/d/1Yj_ptqi66GCucihVvJfMjLAmec39IyEx_6qawtMGysU/edit?usp=sharing"",""สบก!AR48"")"),0)</f>
        <v>0</v>
      </c>
      <c r="N98" s="627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IFERROR(__xludf.DUMMYFUNCTION("IMPORTRANGE(""https://docs.google.com/spreadsheets/d/1Yj_ptqi66GCucihVvJfMjLAmec39IyEx_6qawtMGysU/edit?usp=sharing"",""สบก!AP48"")"),0)</f>
        <v>0</v>
      </c>
      <c r="M102" s="625"/>
      <c r="N102" s="622">
        <f ca="1">IFERROR(__xludf.DUMMYFUNCTION("IMPORTRANGE(""https://docs.google.com/spreadsheets/d/1Yj_ptqi66GCucihVvJfMjLAmec39IyEx_6qawtMGysU/edit?usp=sharing"",""สบก!AT48"")"),0)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IFERROR(__xludf.DUMMYFUNCTION("IMPORTRANGE(""https://docs.google.com/spreadsheets/d/1XL5vhW3sbDhbH9Cz0tuDiY8C3ctxq1tqvaCgkFb8cCA/edit?usp=sharing"",""ร้อยเอ็ด!J50"")"),0)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IFERROR(__xludf.DUMMYFUNCTION("IMPORTRANGE(""https://docs.google.com/spreadsheets/d/1Yj_ptqi66GCucihVvJfMjLAmec39IyEx_6qawtMGysU/edit?usp=sharing"",""สบก!BA48"")"),0)</f>
        <v>0</v>
      </c>
      <c r="N122" s="627">
        <f ca="1">IFERROR(__xludf.DUMMYFUNCTION("IMPORTRANGE(""https://docs.google.com/spreadsheets/d/1Yj_ptqi66GCucihVvJfMjLAmec39IyEx_6qawtMGysU/edit?usp=sharing"",""สบก!BB48"")"),0)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IFERROR(__xludf.DUMMYFUNCTION("IMPORTRANGE(""https://docs.google.com/spreadsheets/d/1Yj_ptqi66GCucihVvJfMjLAmec39IyEx_6qawtMGysU/edit?usp=sharing"",""สบก!AX48"")"),0)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IFERROR(__xludf.DUMMYFUNCTION("IMPORTRANGE(""https://docs.google.com/spreadsheets/d/1Yj_ptqi66GCucihVvJfMjLAmec39IyEx_6qawtMGysU/edit?usp=sharing"",""สบก!AY48"")"),0)</f>
        <v>0</v>
      </c>
      <c r="M126" s="625"/>
      <c r="N126" s="622">
        <f ca="1">IFERROR(__xludf.DUMMYFUNCTION("IMPORTRANGE(""https://docs.google.com/spreadsheets/d/1Yj_ptqi66GCucihVvJfMjLAmec39IyEx_6qawtMGysU/edit?usp=sharing"",""สบก!BC48"")"),0)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281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IFERROR(__xludf.DUMMYFUNCTION("IMPORTRANGE(""https://docs.google.com/spreadsheets/d/1XL5vhW3sbDhbH9Cz0tuDiY8C3ctxq1tqvaCgkFb8cCA/edit?usp=sharing"",""ร้อยเอ็ด!J65"")"),0)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IFERROR(__xludf.DUMMYFUNCTION("IMPORTRANGE(""https://docs.google.com/spreadsheets/d/1XL5vhW3sbDhbH9Cz0tuDiY8C3ctxq1tqvaCgkFb8cCA/edit?usp=sharing"",""ร้อยเอ็ด!I68"")"),0)</f>
        <v>0</v>
      </c>
      <c r="J138" s="267">
        <f ca="1">IFERROR(__xludf.DUMMYFUNCTION("IMPORTRANGE(""https://docs.google.com/spreadsheets/d/1XL5vhW3sbDhbH9Cz0tuDiY8C3ctxq1tqvaCgkFb8cCA/edit?usp=sharing"",""ร้อยเอ็ด!J68"")"),0)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76100</v>
      </c>
      <c r="M140" s="152">
        <f t="shared" ca="1" si="64"/>
        <v>55625</v>
      </c>
      <c r="N140" s="152">
        <f t="shared" ca="1" si="64"/>
        <v>54715</v>
      </c>
      <c r="O140" s="151">
        <f t="shared" ref="O140:O142" ca="1" si="65">IF(L140&gt;0,N140*100/L140,0)</f>
        <v>71.898817345597891</v>
      </c>
      <c r="P140" s="151">
        <f t="shared" ref="P140:P142" ca="1" si="66">IF(M140&gt;0,N140*100/M140,0)</f>
        <v>98.364044943820218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76100</v>
      </c>
      <c r="M142" s="157">
        <f t="shared" ca="1" si="68"/>
        <v>55625</v>
      </c>
      <c r="N142" s="157">
        <f t="shared" ca="1" si="68"/>
        <v>54715</v>
      </c>
      <c r="O142" s="156">
        <f t="shared" ca="1" si="65"/>
        <v>71.898817345597891</v>
      </c>
      <c r="P142" s="156">
        <f t="shared" ca="1" si="66"/>
        <v>98.364044943820218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76100</v>
      </c>
      <c r="M144" s="626">
        <f ca="1">IFERROR(__xludf.DUMMYFUNCTION("IMPORTRANGE(""https://docs.google.com/spreadsheets/d/1Yj_ptqi66GCucihVvJfMjLAmec39IyEx_6qawtMGysU/edit?usp=sharing"",""สบก!BJ48"")"),55625)</f>
        <v>55625</v>
      </c>
      <c r="N144" s="627">
        <f ca="1">IFERROR(__xludf.DUMMYFUNCTION("IMPORTRANGE(""https://docs.google.com/spreadsheets/d/1Yj_ptqi66GCucihVvJfMjLAmec39IyEx_6qawtMGysU/edit?usp=sharing"",""สบก!BK48"")"),54715)</f>
        <v>54715</v>
      </c>
      <c r="O144" s="169">
        <f ca="1">IF(L144&gt;0,N144*100/L144,0)</f>
        <v>71.898817345597891</v>
      </c>
      <c r="P144" s="169">
        <f ca="1">IF(M144&gt;0,N144*100/M144,0)</f>
        <v>98.364044943820218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IFERROR(__xludf.DUMMYFUNCTION("IMPORTRANGE(""https://docs.google.com/spreadsheets/d/1Yj_ptqi66GCucihVvJfMjLAmec39IyEx_6qawtMGysU/edit?usp=sharing"",""สบก!BG48"")"),76100)</f>
        <v>76100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IFERROR(__xludf.DUMMYFUNCTION("IMPORTRANGE(""https://docs.google.com/spreadsheets/d/1Yj_ptqi66GCucihVvJfMjLAmec39IyEx_6qawtMGysU/edit?usp=sharing"",""สบก!BH48"")"),0)</f>
        <v>0</v>
      </c>
      <c r="M148" s="625"/>
      <c r="N148" s="622">
        <f ca="1">IFERROR(__xludf.DUMMYFUNCTION("IMPORTRANGE(""https://docs.google.com/spreadsheets/d/1Yj_ptqi66GCucihVvJfMjLAmec39IyEx_6qawtMGysU/edit?usp=sharing"",""สบก!BL48"")"),0)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IFERROR(__xludf.DUMMYFUNCTION("IMPORTRANGE(""https://docs.google.com/spreadsheets/d/1XL5vhW3sbDhbH9Cz0tuDiY8C3ctxq1tqvaCgkFb8cCA/edit?usp=sharing"",""ร้อยเอ็ด!I74"")"),4)</f>
        <v>4</v>
      </c>
      <c r="J149" s="275">
        <f ca="1">IFERROR(__xludf.DUMMYFUNCTION("IMPORTRANGE(""https://docs.google.com/spreadsheets/d/1XL5vhW3sbDhbH9Cz0tuDiY8C3ctxq1tqvaCgkFb8cCA/edit?usp=sharing"",""ร้อยเอ็ด!J74"")"),3)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IFERROR(__xludf.DUMMYFUNCTION("IMPORTRANGE(""https://docs.google.com/spreadsheets/d/1XL5vhW3sbDhbH9Cz0tuDiY8C3ctxq1tqvaCgkFb8cCA/edit?usp=sharing"",""ร้อยเอ็ด!J85"")"),0)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IFERROR(__xludf.DUMMYFUNCTION("IMPORTRANGE(""https://docs.google.com/spreadsheets/d/1XL5vhW3sbDhbH9Cz0tuDiY8C3ctxq1tqvaCgkFb8cCA/edit?usp=sharing"",""ร้อยเอ็ด!J88"")"),0)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IFERROR(__xludf.DUMMYFUNCTION("IMPORTRANGE(""https://docs.google.com/spreadsheets/d/1XL5vhW3sbDhbH9Cz0tuDiY8C3ctxq1tqvaCgkFb8cCA/edit?usp=sharing"",""ร้อยเอ็ด!I89"")"),3)</f>
        <v>3</v>
      </c>
      <c r="J164" s="284">
        <f ca="1">IFERROR(__xludf.DUMMYFUNCTION("IMPORTRANGE(""https://docs.google.com/spreadsheets/d/1XL5vhW3sbDhbH9Cz0tuDiY8C3ctxq1tqvaCgkFb8cCA/edit?usp=sharing"",""ร้อยเอ็ด!J89"")"),3)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IFERROR(__xludf.DUMMYFUNCTION("IMPORTRANGE(""https://docs.google.com/spreadsheets/d/1XL5vhW3sbDhbH9Cz0tuDiY8C3ctxq1tqvaCgkFb8cCA/edit?usp=sharing"",""ร้อยเอ็ด!I101"")"),0)</f>
        <v>0</v>
      </c>
      <c r="J176" s="284">
        <f ca="1">IFERROR(__xludf.DUMMYFUNCTION("IMPORTRANGE(""https://docs.google.com/spreadsheets/d/1XL5vhW3sbDhbH9Cz0tuDiY8C3ctxq1tqvaCgkFb8cCA/edit?usp=sharing"",""ร้อยเอ็ด!J101"")"),0)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IFERROR(__xludf.DUMMYFUNCTION("IMPORTRANGE(""https://docs.google.com/spreadsheets/d/1XL5vhW3sbDhbH9Cz0tuDiY8C3ctxq1tqvaCgkFb8cCA/edit?usp=sharing"",""ร้อยเอ็ด!J113"")"),0)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IFERROR(__xludf.DUMMYFUNCTION("IMPORTRANGE(""https://docs.google.com/spreadsheets/d/1XL5vhW3sbDhbH9Cz0tuDiY8C3ctxq1tqvaCgkFb8cCA/edit?usp=sharing"",""ร้อยเอ็ด!I114"")"),64000)</f>
        <v>64000</v>
      </c>
      <c r="J189" s="284">
        <f ca="1">IFERROR(__xludf.DUMMYFUNCTION("IMPORTRANGE(""https://docs.google.com/spreadsheets/d/1XL5vhW3sbDhbH9Cz0tuDiY8C3ctxq1tqvaCgkFb8cCA/edit?usp=sharing"",""ร้อยเอ็ด!J114"")"),0)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IFERROR(__xludf.DUMMYFUNCTION("IMPORTRANGE(""https://docs.google.com/spreadsheets/d/1XL5vhW3sbDhbH9Cz0tuDiY8C3ctxq1tqvaCgkFb8cCA/edit?usp=sharing"",""ร้อยเอ็ด!J128"")"),0)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IFERROR(__xludf.DUMMYFUNCTION("IMPORTRANGE(""https://docs.google.com/spreadsheets/d/1XL5vhW3sbDhbH9Cz0tuDiY8C3ctxq1tqvaCgkFb8cCA/edit?usp=sharing"",""ร้อยเอ็ด!I129"")"),0)</f>
        <v>0</v>
      </c>
      <c r="J204" s="284">
        <f ca="1">IFERROR(__xludf.DUMMYFUNCTION("IMPORTRANGE(""https://docs.google.com/spreadsheets/d/1XL5vhW3sbDhbH9Cz0tuDiY8C3ctxq1tqvaCgkFb8cCA/edit?usp=sharing"",""ร้อยเอ็ด!J129"")"),0)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IFERROR(__xludf.DUMMYFUNCTION("IMPORTRANGE(""https://docs.google.com/spreadsheets/d/1XL5vhW3sbDhbH9Cz0tuDiY8C3ctxq1tqvaCgkFb8cCA/edit?usp=sharing"",""ร้อยเอ็ด!J143"")"),0)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IFERROR(__xludf.DUMMYFUNCTION("IMPORTRANGE(""https://docs.google.com/spreadsheets/d/1XL5vhW3sbDhbH9Cz0tuDiY8C3ctxq1tqvaCgkFb8cCA/edit?usp=sharing"",""ร้อยเอ็ด!I144"")"),10)</f>
        <v>10</v>
      </c>
      <c r="J219" s="267">
        <f ca="1">IFERROR(__xludf.DUMMYFUNCTION("IMPORTRANGE(""https://docs.google.com/spreadsheets/d/1XL5vhW3sbDhbH9Cz0tuDiY8C3ctxq1tqvaCgkFb8cCA/edit?usp=sharing"",""ร้อยเอ็ด!J144"")"),10)</f>
        <v>10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626">
        <f ca="1">IFERROR(__xludf.DUMMYFUNCTION("IMPORTRANGE(""https://docs.google.com/spreadsheets/d/1Yj_ptqi66GCucihVvJfMjLAmec39IyEx_6qawtMGysU/edit?usp=sharing"",""สบก!BS48"")"),16550)</f>
        <v>16550</v>
      </c>
      <c r="N224" s="627">
        <f ca="1">IFERROR(__xludf.DUMMYFUNCTION("IMPORTRANGE(""https://docs.google.com/spreadsheets/d/1Yj_ptqi66GCucihVvJfMjLAmec39IyEx_6qawtMGysU/edit?usp=sharing"",""สบก!BT48"")"),16550)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IFERROR(__xludf.DUMMYFUNCTION("IMPORTRANGE(""https://docs.google.com/spreadsheets/d/1Yj_ptqi66GCucihVvJfMjLAmec39IyEx_6qawtMGysU/edit?usp=sharing"",""สบก!BP48"")"),16550)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IFERROR(__xludf.DUMMYFUNCTION("IMPORTRANGE(""https://docs.google.com/spreadsheets/d/1Yj_ptqi66GCucihVvJfMjLAmec39IyEx_6qawtMGysU/edit?usp=sharing"",""สบก!BQ48"")"),0)</f>
        <v>0</v>
      </c>
      <c r="M228" s="625"/>
      <c r="N228" s="622">
        <f ca="1">IFERROR(__xludf.DUMMYFUNCTION("IMPORTRANGE(""https://docs.google.com/spreadsheets/d/1Yj_ptqi66GCucihVvJfMjLAmec39IyEx_6qawtMGysU/edit?usp=sharing"",""สบก!BU48"")"),0)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IFERROR(__xludf.DUMMYFUNCTION("IMPORTRANGE(""https://docs.google.com/spreadsheets/d/1XL5vhW3sbDhbH9Cz0tuDiY8C3ctxq1tqvaCgkFb8cCA/edit?usp=sharing"",""ร้อยเอ็ด!I149"")"),10)</f>
        <v>10</v>
      </c>
      <c r="J229" s="267">
        <f ca="1">IFERROR(__xludf.DUMMYFUNCTION("IMPORTRANGE(""https://docs.google.com/spreadsheets/d/1XL5vhW3sbDhbH9Cz0tuDiY8C3ctxq1tqvaCgkFb8cCA/edit?usp=sharing"",""ร้อยเอ็ด!J149"")"),10)</f>
        <v>10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IFERROR(__xludf.DUMMYFUNCTION("IMPORTRANGE(""https://docs.google.com/spreadsheets/d/1XL5vhW3sbDhbH9Cz0tuDiY8C3ctxq1tqvaCgkFb8cCA/edit?usp=sharing"",""ร้อยเอ็ด!J157"")"),1)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IFERROR(__xludf.DUMMYFUNCTION("IMPORTRANGE(""https://docs.google.com/spreadsheets/d/1XL5vhW3sbDhbH9Cz0tuDiY8C3ctxq1tqvaCgkFb8cCA/edit?usp=sharing"",""ร้อยเอ็ด!I158"")"),0)</f>
        <v>0</v>
      </c>
      <c r="J238" s="267">
        <f ca="1">IFERROR(__xludf.DUMMYFUNCTION("IMPORTRANGE(""https://docs.google.com/spreadsheets/d/1XL5vhW3sbDhbH9Cz0tuDiY8C3ctxq1tqvaCgkFb8cCA/edit?usp=sharing"",""ร้อยเอ็ด!J158"")"),0)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IFERROR(__xludf.DUMMYFUNCTION("IMPORTRANGE(""https://docs.google.com/spreadsheets/d/1XL5vhW3sbDhbH9Cz0tuDiY8C3ctxq1tqvaCgkFb8cCA/edit?usp=sharing"",""ร้อยเอ็ด!J166"")"),0)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IFERROR(__xludf.DUMMYFUNCTION("IMPORTRANGE(""https://docs.google.com/spreadsheets/d/1XL5vhW3sbDhbH9Cz0tuDiY8C3ctxq1tqvaCgkFb8cCA/edit?usp=sharing"",""ร้อยเอ็ด!I169"")"),0)</f>
        <v>0</v>
      </c>
      <c r="J249" s="316">
        <f ca="1">IFERROR(__xludf.DUMMYFUNCTION("IMPORTRANGE(""https://docs.google.com/spreadsheets/d/1XL5vhW3sbDhbH9Cz0tuDiY8C3ctxq1tqvaCgkFb8cCA/edit?usp=sharing"",""ร้อยเอ็ด!J169"")"),0)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IFERROR(__xludf.DUMMYFUNCTION("IMPORTRANGE(""https://docs.google.com/spreadsheets/d/1Yj_ptqi66GCucihVvJfMjLAmec39IyEx_6qawtMGysU/edit?usp=sharing"",""สบก!CB48"")"),0)</f>
        <v>0</v>
      </c>
      <c r="N254" s="627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IFERROR(__xludf.DUMMYFUNCTION("IMPORTRANGE(""https://docs.google.com/spreadsheets/d/1Yj_ptqi66GCucihVvJfMjLAmec39IyEx_6qawtMGysU/edit?usp=sharing"",""สบก!BZ48"")"),0)</f>
        <v>0</v>
      </c>
      <c r="M258" s="625"/>
      <c r="N258" s="622">
        <f ca="1">IFERROR(__xludf.DUMMYFUNCTION("IMPORTRANGE(""https://docs.google.com/spreadsheets/d/1Yj_ptqi66GCucihVvJfMjLAmec39IyEx_6qawtMGysU/edit?usp=sharing"",""สบก!CD48"")"),0)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IFERROR(__xludf.DUMMYFUNCTION("IMPORTRANGE(""https://docs.google.com/spreadsheets/d/1XL5vhW3sbDhbH9Cz0tuDiY8C3ctxq1tqvaCgkFb8cCA/edit?usp=sharing"",""ร้อยเอ็ด!J184"")"),0)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IFERROR(__xludf.DUMMYFUNCTION("IMPORTRANGE(""https://docs.google.com/spreadsheets/d/1XL5vhW3sbDhbH9Cz0tuDiY8C3ctxq1tqvaCgkFb8cCA/edit?usp=sharing"",""ร้อยเอ็ด!I185"")"),15)</f>
        <v>15</v>
      </c>
      <c r="J270" s="316">
        <f ca="1">IFERROR(__xludf.DUMMYFUNCTION("IMPORTRANGE(""https://docs.google.com/spreadsheets/d/1XL5vhW3sbDhbH9Cz0tuDiY8C3ctxq1tqvaCgkFb8cCA/edit?usp=sharing"",""ร้อยเอ็ด!J185"")"),15)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30820</v>
      </c>
      <c r="O271" s="151">
        <f t="shared" ref="O271:O273" ca="1" si="84">IF(L271&gt;0,N271*100/L271,0)</f>
        <v>55.833333333333336</v>
      </c>
      <c r="P271" s="151">
        <f t="shared" ref="P271:P273" ca="1" si="85">IF(M271&gt;0,N271*100/M271,0)</f>
        <v>95.565891472868216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30820</v>
      </c>
      <c r="O273" s="156">
        <f t="shared" ca="1" si="84"/>
        <v>55.833333333333336</v>
      </c>
      <c r="P273" s="156">
        <f t="shared" ca="1" si="85"/>
        <v>95.565891472868216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IFERROR(__xludf.DUMMYFUNCTION("IMPORTRANGE(""https://docs.google.com/spreadsheets/d/1Yj_ptqi66GCucihVvJfMjLAmec39IyEx_6qawtMGysU/edit?usp=sharing"",""สบก!CK48"")"),32250)</f>
        <v>32250</v>
      </c>
      <c r="N275" s="627">
        <f ca="1">IFERROR(__xludf.DUMMYFUNCTION("IMPORTRANGE(""https://docs.google.com/spreadsheets/d/1Yj_ptqi66GCucihVvJfMjLAmec39IyEx_6qawtMGysU/edit?usp=sharing"",""สบก!CL48"")"),30820)</f>
        <v>30820</v>
      </c>
      <c r="O275" s="169">
        <f ca="1">IF(L275&gt;0,N275*100/L275,0)</f>
        <v>55.833333333333336</v>
      </c>
      <c r="P275" s="169">
        <f ca="1">IF(M275&gt;0,N275*100/M275,0)</f>
        <v>95.565891472868216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IFERROR(__xludf.DUMMYFUNCTION("IMPORTRANGE(""https://docs.google.com/spreadsheets/d/1Yj_ptqi66GCucihVvJfMjLAmec39IyEx_6qawtMGysU/edit?usp=sharing"",""สบก!CI48"")"),0)</f>
        <v>0</v>
      </c>
      <c r="M279" s="625"/>
      <c r="N279" s="622">
        <f ca="1">IFERROR(__xludf.DUMMYFUNCTION("IMPORTRANGE(""https://docs.google.com/spreadsheets/d/1Yj_ptqi66GCucihVvJfMjLAmec39IyEx_6qawtMGysU/edit?usp=sharing"",""สบก!CM48"")"),0)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IFERROR(__xludf.DUMMYFUNCTION("IMPORTRANGE(""https://docs.google.com/spreadsheets/d/1XL5vhW3sbDhbH9Cz0tuDiY8C3ctxq1tqvaCgkFb8cCA/edit?usp=sharing"",""ร้อยเอ็ด!J197"")"),0)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IFERROR(__xludf.DUMMYFUNCTION("IMPORTRANGE(""https://docs.google.com/spreadsheets/d/1XL5vhW3sbDhbH9Cz0tuDiY8C3ctxq1tqvaCgkFb8cCA/edit?usp=sharing"",""ร้อยเอ็ด!I199"")"),0)</f>
        <v>0</v>
      </c>
      <c r="J289" s="316">
        <f ca="1">IFERROR(__xludf.DUMMYFUNCTION("IMPORTRANGE(""https://docs.google.com/spreadsheets/d/1XL5vhW3sbDhbH9Cz0tuDiY8C3ctxq1tqvaCgkFb8cCA/edit?usp=sharing"",""ร้อยเอ็ด!J199"")"),0)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IFERROR(__xludf.DUMMYFUNCTION("IMPORTRANGE(""https://docs.google.com/spreadsheets/d/1Yj_ptqi66GCucihVvJfMjLAmec39IyEx_6qawtMGysU/edit?usp=sharing"",""สบก!CT48"")"),0)</f>
        <v>0</v>
      </c>
      <c r="N294" s="627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IFERROR(__xludf.DUMMYFUNCTION("IMPORTRANGE(""https://docs.google.com/spreadsheets/d/1Yj_ptqi66GCucihVvJfMjLAmec39IyEx_6qawtMGysU/edit?usp=sharing"",""สบก!CR48"")"),0)</f>
        <v>0</v>
      </c>
      <c r="M298" s="625"/>
      <c r="N298" s="622">
        <f ca="1">IFERROR(__xludf.DUMMYFUNCTION("IMPORTRANGE(""https://docs.google.com/spreadsheets/d/1Yj_ptqi66GCucihVvJfMjLAmec39IyEx_6qawtMGysU/edit?usp=sharing"",""สบก!CV48"")"),0)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IFERROR(__xludf.DUMMYFUNCTION("IMPORTRANGE(""https://docs.google.com/spreadsheets/d/1XL5vhW3sbDhbH9Cz0tuDiY8C3ctxq1tqvaCgkFb8cCA/edit?usp=sharing"",""ร้อยเอ็ด!J213"")"),0)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IFERROR(__xludf.DUMMYFUNCTION("IMPORTRANGE(""https://docs.google.com/spreadsheets/d/1XL5vhW3sbDhbH9Cz0tuDiY8C3ctxq1tqvaCgkFb8cCA/edit?usp=sharing"",""ร้อยเอ็ด!I214"")"),0)</f>
        <v>0</v>
      </c>
      <c r="J309" s="333">
        <f ca="1">IFERROR(__xludf.DUMMYFUNCTION("IMPORTRANGE(""https://docs.google.com/spreadsheets/d/1XL5vhW3sbDhbH9Cz0tuDiY8C3ctxq1tqvaCgkFb8cCA/edit?usp=sharing"",""ร้อยเอ็ด!J214"")"),0)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IFERROR(__xludf.DUMMYFUNCTION("IMPORTRANGE(""https://docs.google.com/spreadsheets/d/1Yj_ptqi66GCucihVvJfMjLAmec39IyEx_6qawtMGysU/edit?usp=sharing"",""สบก!DC48"")"),0)</f>
        <v>0</v>
      </c>
      <c r="N314" s="627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IFERROR(__xludf.DUMMYFUNCTION("IMPORTRANGE(""https://docs.google.com/spreadsheets/d/1Yj_ptqi66GCucihVvJfMjLAmec39IyEx_6qawtMGysU/edit?usp=sharing"",""สบก!DA48"")"),0)</f>
        <v>0</v>
      </c>
      <c r="M318" s="625"/>
      <c r="N318" s="622">
        <f ca="1">IFERROR(__xludf.DUMMYFUNCTION("IMPORTRANGE(""https://docs.google.com/spreadsheets/d/1Yj_ptqi66GCucihVvJfMjLAmec39IyEx_6qawtMGysU/edit?usp=sharing"",""สบก!DE48"")"),0)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IFERROR(__xludf.DUMMYFUNCTION("IMPORTRANGE(""https://docs.google.com/spreadsheets/d/1XL5vhW3sbDhbH9Cz0tuDiY8C3ctxq1tqvaCgkFb8cCA/edit?usp=sharing"",""ร้อยเอ็ด!J226"")"),0)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IFERROR(__xludf.DUMMYFUNCTION("IMPORTRANGE(""https://docs.google.com/spreadsheets/d/1XL5vhW3sbDhbH9Cz0tuDiY8C3ctxq1tqvaCgkFb8cCA/edit?usp=sharing"",""ร้อยเอ็ด!I228"")"),1100)</f>
        <v>1100</v>
      </c>
      <c r="J328" s="339">
        <f ca="1">IFERROR(__xludf.DUMMYFUNCTION("IMPORTRANGE(""https://docs.google.com/spreadsheets/d/1XL5vhW3sbDhbH9Cz0tuDiY8C3ctxq1tqvaCgkFb8cCA/edit?usp=sharing"",""ร้อยเอ็ด!J228"")"),565)</f>
        <v>565</v>
      </c>
      <c r="K328" s="317">
        <f ca="1">IF(I328&gt;0,J328*100/I328,0)</f>
        <v>51.363636363636367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1333440</v>
      </c>
      <c r="M329" s="152">
        <f t="shared" ca="1" si="98"/>
        <v>1193300</v>
      </c>
      <c r="N329" s="152">
        <f t="shared" ca="1" si="98"/>
        <v>855443.98</v>
      </c>
      <c r="O329" s="151">
        <f t="shared" ref="O329:O331" ca="1" si="99">IF(L329&gt;0,N329*100/L329,0)</f>
        <v>64.153166246700266</v>
      </c>
      <c r="P329" s="151">
        <f t="shared" ref="P329:P331" ca="1" si="100">IF(M329&gt;0,N329*100/M329,0)</f>
        <v>71.687252157881503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1333440</v>
      </c>
      <c r="M331" s="157">
        <f t="shared" ca="1" si="102"/>
        <v>1193300</v>
      </c>
      <c r="N331" s="157">
        <f t="shared" ca="1" si="102"/>
        <v>855443.98</v>
      </c>
      <c r="O331" s="156">
        <f t="shared" ca="1" si="99"/>
        <v>64.153166246700266</v>
      </c>
      <c r="P331" s="156">
        <f t="shared" ca="1" si="100"/>
        <v>71.687252157881503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1149440</v>
      </c>
      <c r="M333" s="626">
        <f ca="1">IFERROR(__xludf.DUMMYFUNCTION("IMPORTRANGE(""https://docs.google.com/spreadsheets/d/1Yj_ptqi66GCucihVvJfMjLAmec39IyEx_6qawtMGysU/edit?usp=sharing"",""สบก!DL48"")"),1009300)</f>
        <v>1009300</v>
      </c>
      <c r="N333" s="627">
        <f ca="1">IFERROR(__xludf.DUMMYFUNCTION("IMPORTRANGE(""https://docs.google.com/spreadsheets/d/1Yj_ptqi66GCucihVvJfMjLAmec39IyEx_6qawtMGysU/edit?usp=sharing"",""สบก!DM48"")"),671443.98)</f>
        <v>671443.98</v>
      </c>
      <c r="O333" s="169">
        <f ca="1">IF(L333&gt;0,N333*100/L333,0)</f>
        <v>58.414878549554565</v>
      </c>
      <c r="P333" s="169">
        <f ca="1">IF(M333&gt;0,N333*100/M333,0)</f>
        <v>66.525708907163377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IFERROR(__xludf.DUMMYFUNCTION("IMPORTRANGE(""https://docs.google.com/spreadsheets/d/1Yj_ptqi66GCucihVvJfMjLAmec39IyEx_6qawtMGysU/edit?usp=sharing"",""สบก!DI48"")"),955040)</f>
        <v>955040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IFERROR(__xludf.DUMMYFUNCTION("IMPORTRANGE(""https://docs.google.com/spreadsheets/d/1Yj_ptqi66GCucihVvJfMjLAmec39IyEx_6qawtMGysU/edit?usp=sharing"",""สบก!DJ48"")"),184000)</f>
        <v>184000</v>
      </c>
      <c r="M337" s="625">
        <f ca="1">L337</f>
        <v>184000</v>
      </c>
      <c r="N337" s="622">
        <f ca="1">IFERROR(__xludf.DUMMYFUNCTION("IMPORTRANGE(""https://docs.google.com/spreadsheets/d/1Yj_ptqi66GCucihVvJfMjLAmec39IyEx_6qawtMGysU/edit?usp=sharing"",""สบก!DN48"")"),184000)</f>
        <v>184000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IFERROR(__xludf.DUMMYFUNCTION("IMPORTRANGE(""https://docs.google.com/spreadsheets/d/1XL5vhW3sbDhbH9Cz0tuDiY8C3ctxq1tqvaCgkFb8cCA/edit?usp=sharing"",""ร้อยเอ็ด!J234"")"),401)</f>
        <v>401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IFERROR(__xludf.DUMMYFUNCTION("IMPORTRANGE(""https://docs.google.com/spreadsheets/d/1XL5vhW3sbDhbH9Cz0tuDiY8C3ctxq1tqvaCgkFb8cCA/edit?usp=sharing"",""ร้อยเอ็ด!I235"")"),6400)</f>
        <v>6400</v>
      </c>
      <c r="J340" s="188">
        <f ca="1">IFERROR(__xludf.DUMMYFUNCTION("IMPORTRANGE(""https://docs.google.com/spreadsheets/d/1XL5vhW3sbDhbH9Cz0tuDiY8C3ctxq1tqvaCgkFb8cCA/edit?usp=sharing"",""ร้อยเอ็ด!J235"")"),3089.22999999999)</f>
        <v>3089.22999999999</v>
      </c>
      <c r="K340" s="342">
        <f t="shared" ca="1" si="103"/>
        <v>48.269218749999844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IFERROR(__xludf.DUMMYFUNCTION("IMPORTRANGE(""https://docs.google.com/spreadsheets/d/1XL5vhW3sbDhbH9Cz0tuDiY8C3ctxq1tqvaCgkFb8cCA/edit?usp=sharing"",""ร้อยเอ็ด!I236"")"),1100)</f>
        <v>1100</v>
      </c>
      <c r="J341" s="188">
        <f ca="1">IFERROR(__xludf.DUMMYFUNCTION("IMPORTRANGE(""https://docs.google.com/spreadsheets/d/1XL5vhW3sbDhbH9Cz0tuDiY8C3ctxq1tqvaCgkFb8cCA/edit?usp=sharing"",""ร้อยเอ็ด!J236"")"),867)</f>
        <v>867</v>
      </c>
      <c r="K341" s="342">
        <f t="shared" ca="1" si="103"/>
        <v>78.818181818181813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IFERROR(__xludf.DUMMYFUNCTION("IMPORTRANGE(""https://docs.google.com/spreadsheets/d/1XL5vhW3sbDhbH9Cz0tuDiY8C3ctxq1tqvaCgkFb8cCA/edit?usp=sharing"",""ร้อยเอ็ด!J237"")"),8399.52999999999)</f>
        <v>8399.5299999999897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IFERROR(__xludf.DUMMYFUNCTION("IMPORTRANGE(""https://docs.google.com/spreadsheets/d/1XL5vhW3sbDhbH9Cz0tuDiY8C3ctxq1tqvaCgkFb8cCA/edit?usp=sharing"",""ร้อยเอ็ด!I238"")"),1100)</f>
        <v>1100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IFERROR(__xludf.DUMMYFUNCTION("IMPORTRANGE(""https://docs.google.com/spreadsheets/d/1XL5vhW3sbDhbH9Cz0tuDiY8C3ctxq1tqvaCgkFb8cCA/edit?usp=sharing"",""ร้อยเอ็ด!I240"")"),1100)</f>
        <v>1100</v>
      </c>
      <c r="J345" s="188">
        <f ca="1">IFERROR(__xludf.DUMMYFUNCTION("IMPORTRANGE(""https://docs.google.com/spreadsheets/d/1XL5vhW3sbDhbH9Cz0tuDiY8C3ctxq1tqvaCgkFb8cCA/edit?usp=sharing"",""ร้อยเอ็ด!J240"")"),565)</f>
        <v>565</v>
      </c>
      <c r="K345" s="342">
        <f t="shared" ca="1" si="103"/>
        <v>51.363636363636367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IFERROR(__xludf.DUMMYFUNCTION("IMPORTRANGE(""https://docs.google.com/spreadsheets/d/1XL5vhW3sbDhbH9Cz0tuDiY8C3ctxq1tqvaCgkFb8cCA/edit?usp=sharing"",""ร้อยเอ็ด!J241"")"),5409.2)</f>
        <v>5409.2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IFERROR(__xludf.DUMMYFUNCTION("IMPORTRANGE(""https://docs.google.com/spreadsheets/d/1XL5vhW3sbDhbH9Cz0tuDiY8C3ctxq1tqvaCgkFb8cCA/edit?usp=sharing"",""ร้อยเอ็ด!L242"")"),2874453)</f>
        <v>2874453</v>
      </c>
      <c r="M347" s="358"/>
      <c r="N347" s="358">
        <f ca="1">IFERROR(__xludf.DUMMYFUNCTION("IMPORTRANGE(""https://docs.google.com/spreadsheets/d/1XL5vhW3sbDhbH9Cz0tuDiY8C3ctxq1tqvaCgkFb8cCA/edit?usp=sharing"",""ร้อยเอ็ด!M242"")"),1718269.54)</f>
        <v>1718269.54</v>
      </c>
      <c r="O347" s="358">
        <f ca="1">+IF(L347&gt;0,N347*100/L347,0)</f>
        <v>59.777270318909373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IFERROR(__xludf.DUMMYFUNCTION("IMPORTRANGE(""https://docs.google.com/spreadsheets/d/1XL5vhW3sbDhbH9Cz0tuDiY8C3ctxq1tqvaCgkFb8cCA/edit?usp=sharing"",""ร้อยเอ็ด!M244"")"),589501)</f>
        <v>589501</v>
      </c>
      <c r="O349" s="373">
        <f ca="1">+IF(L349&gt;0,N349*100/L349,0)</f>
        <v>91.419598964068044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IFERROR(__xludf.DUMMYFUNCTION("IMPORTRANGE(""https://docs.google.com/spreadsheets/d/1XL5vhW3sbDhbH9Cz0tuDiY8C3ctxq1tqvaCgkFb8cCA/edit?usp=sharing"",""ร้อยเอ็ด!L247"")"),644830)</f>
        <v>644830</v>
      </c>
      <c r="M352" s="165"/>
      <c r="N352" s="164">
        <f ca="1">IFERROR(__xludf.DUMMYFUNCTION("IMPORTRANGE(""https://docs.google.com/spreadsheets/d/1XL5vhW3sbDhbH9Cz0tuDiY8C3ctxq1tqvaCgkFb8cCA/edit?usp=sharing"",""ร้อยเอ็ด!M247"")"),589501)</f>
        <v>589501</v>
      </c>
      <c r="O352" s="165">
        <f t="shared" ca="1" si="105"/>
        <v>91.419598964068044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IFERROR(__xludf.DUMMYFUNCTION("IMPORTRANGE(""https://docs.google.com/spreadsheets/d/1XL5vhW3sbDhbH9Cz0tuDiY8C3ctxq1tqvaCgkFb8cCA/edit?usp=sharing"",""ร้อยเอ็ด!L249"")"),644830)</f>
        <v>644830</v>
      </c>
      <c r="M354" s="169"/>
      <c r="N354" s="168">
        <f ca="1">IFERROR(__xludf.DUMMYFUNCTION("IMPORTRANGE(""https://docs.google.com/spreadsheets/d/1XL5vhW3sbDhbH9Cz0tuDiY8C3ctxq1tqvaCgkFb8cCA/edit?usp=sharing"",""ร้อยเอ็ด!M249"")"),589501)</f>
        <v>589501</v>
      </c>
      <c r="O354" s="169">
        <f t="shared" ca="1" si="105"/>
        <v>91.419598964068044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IFERROR(__xludf.DUMMYFUNCTION("IMPORTRANGE(""https://docs.google.com/spreadsheets/d/1XL5vhW3sbDhbH9Cz0tuDiY8C3ctxq1tqvaCgkFb8cCA/edit?usp=sharing"",""ร้อยเอ็ด!M250"")"),101700)</f>
        <v>101700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IFERROR(__xludf.DUMMYFUNCTION("IMPORTRANGE(""https://docs.google.com/spreadsheets/d/1XL5vhW3sbDhbH9Cz0tuDiY8C3ctxq1tqvaCgkFb8cCA/edit?usp=sharing"",""ร้อยเอ็ด!M252"")"),72020.21)</f>
        <v>72020.210000000006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IFERROR(__xludf.DUMMYFUNCTION("IMPORTRANGE(""https://docs.google.com/spreadsheets/d/1XL5vhW3sbDhbH9Cz0tuDiY8C3ctxq1tqvaCgkFb8cCA/edit?usp=sharing"",""ร้อยเอ็ด!M253"")"),64680.79)</f>
        <v>64680.79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IFERROR(__xludf.DUMMYFUNCTION("IMPORTRANGE(""https://docs.google.com/spreadsheets/d/1XL5vhW3sbDhbH9Cz0tuDiY8C3ctxq1tqvaCgkFb8cCA/edit?usp=sharing"",""ร้อยเอ็ด!M275"")"),327221.32)</f>
        <v>327221.32</v>
      </c>
      <c r="O380" s="373">
        <f ca="1">+IF(L380&gt;0,N380*100/L380,0)</f>
        <v>31.81477462762027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IFERROR(__xludf.DUMMYFUNCTION("IMPORTRANGE(""https://docs.google.com/spreadsheets/d/1XL5vhW3sbDhbH9Cz0tuDiY8C3ctxq1tqvaCgkFb8cCA/edit?usp=sharing"",""ร้อยเอ็ด!M278"")"),327221.32)</f>
        <v>327221.32</v>
      </c>
      <c r="O383" s="165">
        <f t="shared" ca="1" si="109"/>
        <v>31.81477462762027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IFERROR(__xludf.DUMMYFUNCTION("IMPORTRANGE(""https://docs.google.com/spreadsheets/d/1XL5vhW3sbDhbH9Cz0tuDiY8C3ctxq1tqvaCgkFb8cCA/edit?usp=sharing"",""ร้อยเอ็ด!M280"")"),327221.32)</f>
        <v>327221.32</v>
      </c>
      <c r="O385" s="169">
        <f t="shared" ca="1" si="109"/>
        <v>31.81477462762027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IFERROR(__xludf.DUMMYFUNCTION("IMPORTRANGE(""https://docs.google.com/spreadsheets/d/1XL5vhW3sbDhbH9Cz0tuDiY8C3ctxq1tqvaCgkFb8cCA/edit?usp=sharing"",""ร้อยเอ็ด!M283"")"),68534.32)</f>
        <v>68534.320000000007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IFERROR(__xludf.DUMMYFUNCTION("IMPORTRANGE(""https://docs.google.com/spreadsheets/d/1XL5vhW3sbDhbH9Cz0tuDiY8C3ctxq1tqvaCgkFb8cCA/edit?usp=sharing"",""ร้อยเอ็ด!M284"")"),60687)</f>
        <v>60687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IFERROR(__xludf.DUMMYFUNCTION("IMPORTRANGE(""https://docs.google.com/spreadsheets/d/1XL5vhW3sbDhbH9Cz0tuDiY8C3ctxq1tqvaCgkFb8cCA/edit?usp=sharing"",""ร้อยเอ็ด!J295"")"),0)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IFERROR(__xludf.DUMMYFUNCTION("IMPORTRANGE(""https://docs.google.com/spreadsheets/d/1XL5vhW3sbDhbH9Cz0tuDiY8C3ctxq1tqvaCgkFb8cCA/edit?usp=sharing"",""ร้อยเอ็ด!M296"")"),175650)</f>
        <v>175650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IFERROR(__xludf.DUMMYFUNCTION("IMPORTRANGE(""https://docs.google.com/spreadsheets/d/1XL5vhW3sbDhbH9Cz0tuDiY8C3ctxq1tqvaCgkFb8cCA/edit?usp=sharing"",""ร้อยเอ็ด!M299"")"),175650)</f>
        <v>175650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IFERROR(__xludf.DUMMYFUNCTION("IMPORTRANGE(""https://docs.google.com/spreadsheets/d/1XL5vhW3sbDhbH9Cz0tuDiY8C3ctxq1tqvaCgkFb8cCA/edit?usp=sharing"",""ร้อยเอ็ด!M301"")"),175650)</f>
        <v>175650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IFERROR(__xludf.DUMMYFUNCTION("IMPORTRANGE(""https://docs.google.com/spreadsheets/d/1XL5vhW3sbDhbH9Cz0tuDiY8C3ctxq1tqvaCgkFb8cCA/edit?usp=sharing"",""ร้อยเอ็ด!M302"")"),105450)</f>
        <v>105450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IFERROR(__xludf.DUMMYFUNCTION("IMPORTRANGE(""https://docs.google.com/spreadsheets/d/1XL5vhW3sbDhbH9Cz0tuDiY8C3ctxq1tqvaCgkFb8cCA/edit?usp=sharing"",""ร้อยเอ็ด!M303"")"),40000)</f>
        <v>40000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IFERROR(__xludf.DUMMYFUNCTION("IMPORTRANGE(""https://docs.google.com/spreadsheets/d/1XL5vhW3sbDhbH9Cz0tuDiY8C3ctxq1tqvaCgkFb8cCA/edit?usp=sharing"",""ร้อยเอ็ด!M305"")"),30200)</f>
        <v>30200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IFERROR(__xludf.DUMMYFUNCTION("IMPORTRANGE(""https://docs.google.com/spreadsheets/d/1XL5vhW3sbDhbH9Cz0tuDiY8C3ctxq1tqvaCgkFb8cCA/edit?usp=sharing"",""ร้อยเอ็ด!J329"")"),1)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IFERROR(__xludf.DUMMYFUNCTION("IMPORTRANGE(""https://docs.google.com/spreadsheets/d/1XL5vhW3sbDhbH9Cz0tuDiY8C3ctxq1tqvaCgkFb8cCA/edit?usp=sharing"",""ร้อยเอ็ด!M330"")"),82825)</f>
        <v>82825</v>
      </c>
      <c r="O435" s="412">
        <f t="shared" ref="O435:O439" ca="1" si="114">+IF(L435&gt;0,N435*100/L435,0)</f>
        <v>94.119318181818187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IFERROR(__xludf.DUMMYFUNCTION("IMPORTRANGE(""https://docs.google.com/spreadsheets/d/1XL5vhW3sbDhbH9Cz0tuDiY8C3ctxq1tqvaCgkFb8cCA/edit?usp=sharing"",""ร้อยเอ็ด!M332"")"),82825)</f>
        <v>82825</v>
      </c>
      <c r="O437" s="169">
        <f t="shared" ca="1" si="114"/>
        <v>94.119318181818187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IFERROR(__xludf.DUMMYFUNCTION("IMPORTRANGE(""https://docs.google.com/spreadsheets/d/1XL5vhW3sbDhbH9Cz0tuDiY8C3ctxq1tqvaCgkFb8cCA/edit?usp=sharing"",""ร้อยเอ็ด!M334"")"),82825)</f>
        <v>82825</v>
      </c>
      <c r="O439" s="169">
        <f t="shared" ca="1" si="114"/>
        <v>94.119318181818187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IFERROR(__xludf.DUMMYFUNCTION("IMPORTRANGE(""https://docs.google.com/spreadsheets/d/1XL5vhW3sbDhbH9Cz0tuDiY8C3ctxq1tqvaCgkFb8cCA/edit?usp=sharing"",""ร้อยเอ็ด!M335"")"),82335)</f>
        <v>82335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IFERROR(__xludf.DUMMYFUNCTION("IMPORTRANGE(""https://docs.google.com/spreadsheets/d/1XL5vhW3sbDhbH9Cz0tuDiY8C3ctxq1tqvaCgkFb8cCA/edit?usp=sharing"",""ร้อยเอ็ด!M338"")"),490)</f>
        <v>490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IFERROR(__xludf.DUMMYFUNCTION("IMPORTRANGE(""https://docs.google.com/spreadsheets/d/1XL5vhW3sbDhbH9Cz0tuDiY8C3ctxq1tqvaCgkFb8cCA/edit?usp=sharing"",""ร้อยเอ็ด!J350"")"),50037)</f>
        <v>50037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IFERROR(__xludf.DUMMYFUNCTION("IMPORTRANGE(""https://docs.google.com/spreadsheets/d/1XL5vhW3sbDhbH9Cz0tuDiY8C3ctxq1tqvaCgkFb8cCA/edit?usp=sharing"",""ร้อยเอ็ด!L350"")"),455353)</f>
        <v>455353</v>
      </c>
      <c r="M455" s="373"/>
      <c r="N455" s="373">
        <f ca="1">IFERROR(__xludf.DUMMYFUNCTION("IMPORTRANGE(""https://docs.google.com/spreadsheets/d/1XL5vhW3sbDhbH9Cz0tuDiY8C3ctxq1tqvaCgkFb8cCA/edit?usp=sharing"",""ร้อยเอ็ด!M350"")"),258750.34)</f>
        <v>258750.34</v>
      </c>
      <c r="O455" s="373">
        <f t="shared" ref="O455:O459" ca="1" si="116">+IF(L455&gt;0,N455*100/L455,0)</f>
        <v>56.824121066513236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IFERROR(__xludf.DUMMYFUNCTION("IMPORTRANGE(""https://docs.google.com/spreadsheets/d/1XL5vhW3sbDhbH9Cz0tuDiY8C3ctxq1tqvaCgkFb8cCA/edit?usp=sharing"",""ร้อยเอ็ด!L352"")"),455353)</f>
        <v>455353</v>
      </c>
      <c r="M457" s="165"/>
      <c r="N457" s="169">
        <f ca="1">IFERROR(__xludf.DUMMYFUNCTION("IMPORTRANGE(""https://docs.google.com/spreadsheets/d/1XL5vhW3sbDhbH9Cz0tuDiY8C3ctxq1tqvaCgkFb8cCA/edit?usp=sharing"",""ร้อยเอ็ด!M352"")"),258750.34)</f>
        <v>258750.34</v>
      </c>
      <c r="O457" s="169">
        <f t="shared" ca="1" si="116"/>
        <v>56.824121066513236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IFERROR(__xludf.DUMMYFUNCTION("IMPORTRANGE(""https://docs.google.com/spreadsheets/d/1XL5vhW3sbDhbH9Cz0tuDiY8C3ctxq1tqvaCgkFb8cCA/edit?usp=sharing"",""ร้อยเอ็ด!L354"")"),455353)</f>
        <v>455353</v>
      </c>
      <c r="M459" s="169"/>
      <c r="N459" s="169">
        <f ca="1">IFERROR(__xludf.DUMMYFUNCTION("IMPORTRANGE(""https://docs.google.com/spreadsheets/d/1XL5vhW3sbDhbH9Cz0tuDiY8C3ctxq1tqvaCgkFb8cCA/edit?usp=sharing"",""ร้อยเอ็ด!M354"")"),258750.34)</f>
        <v>258750.34</v>
      </c>
      <c r="O459" s="169">
        <f t="shared" ca="1" si="116"/>
        <v>56.824121066513236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IFERROR(__xludf.DUMMYFUNCTION("IMPORTRANGE(""https://docs.google.com/spreadsheets/d/1XL5vhW3sbDhbH9Cz0tuDiY8C3ctxq1tqvaCgkFb8cCA/edit?usp=sharing"",""ร้อยเอ็ด!M357"")"),69434.34)</f>
        <v>69434.34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IFERROR(__xludf.DUMMYFUNCTION("IMPORTRANGE(""https://docs.google.com/spreadsheets/d/1XL5vhW3sbDhbH9Cz0tuDiY8C3ctxq1tqvaCgkFb8cCA/edit?usp=sharing"",""ร้อยเอ็ด!M358"")"),189316)</f>
        <v>189316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IFERROR(__xludf.DUMMYFUNCTION("IMPORTRANGE(""https://docs.google.com/spreadsheets/d/1XL5vhW3sbDhbH9Cz0tuDiY8C3ctxq1tqvaCgkFb8cCA/edit?usp=sharing"",""ร้อยเอ็ด!I359"")"),50037)</f>
        <v>50037</v>
      </c>
      <c r="J464" s="267">
        <f ca="1">IFERROR(__xludf.DUMMYFUNCTION("IMPORTRANGE(""https://docs.google.com/spreadsheets/d/1XL5vhW3sbDhbH9Cz0tuDiY8C3ctxq1tqvaCgkFb8cCA/edit?usp=sharing"",""ร้อยเอ็ด!J359"")"),50037)</f>
        <v>50037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IFERROR(__xludf.DUMMYFUNCTION("IMPORTRANGE(""https://docs.google.com/spreadsheets/d/1XL5vhW3sbDhbH9Cz0tuDiY8C3ctxq1tqvaCgkFb8cCA/edit?usp=sharing"",""ร้อยเอ็ด!J376"")"),50037)</f>
        <v>50037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IFERROR(__xludf.DUMMYFUNCTION("IMPORTRANGE(""https://docs.google.com/spreadsheets/d/1XL5vhW3sbDhbH9Cz0tuDiY8C3ctxq1tqvaCgkFb8cCA/edit?usp=sharing"",""ร้อยเอ็ด!J377"")"),5144)</f>
        <v>5144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IFERROR(__xludf.DUMMYFUNCTION("IMPORTRANGE(""https://docs.google.com/spreadsheets/d/1XL5vhW3sbDhbH9Cz0tuDiY8C3ctxq1tqvaCgkFb8cCA/edit?usp=sharing"",""ร้อยเอ็ด!J378"")"),38830)</f>
        <v>38830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IFERROR(__xludf.DUMMYFUNCTION("IMPORTRANGE(""https://docs.google.com/spreadsheets/d/1XL5vhW3sbDhbH9Cz0tuDiY8C3ctxq1tqvaCgkFb8cCA/edit?usp=sharing"",""ร้อยเอ็ด!J379"")"),4382)</f>
        <v>4382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IFERROR(__xludf.DUMMYFUNCTION("IMPORTRANGE(""https://docs.google.com/spreadsheets/d/1XL5vhW3sbDhbH9Cz0tuDiY8C3ctxq1tqvaCgkFb8cCA/edit?usp=sharing"",""ร้อยเอ็ด!J380"")"),69)</f>
        <v>69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IFERROR(__xludf.DUMMYFUNCTION("IMPORTRANGE(""https://docs.google.com/spreadsheets/d/1XL5vhW3sbDhbH9Cz0tuDiY8C3ctxq1tqvaCgkFb8cCA/edit?usp=sharing"",""ร้อยเอ็ด!J381"")"),34)</f>
        <v>34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IFERROR(__xludf.DUMMYFUNCTION("IMPORTRANGE(""https://docs.google.com/spreadsheets/d/1XL5vhW3sbDhbH9Cz0tuDiY8C3ctxq1tqvaCgkFb8cCA/edit?usp=sharing"",""ร้อยเอ็ด!J382"")"),518)</f>
        <v>518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IFERROR(__xludf.DUMMYFUNCTION("IMPORTRANGE(""https://docs.google.com/spreadsheets/d/1XL5vhW3sbDhbH9Cz0tuDiY8C3ctxq1tqvaCgkFb8cCA/edit?usp=sharing"",""ร้อยเอ็ด!J383"")"),39)</f>
        <v>39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IFERROR(__xludf.DUMMYFUNCTION("IMPORTRANGE(""https://docs.google.com/spreadsheets/d/1XL5vhW3sbDhbH9Cz0tuDiY8C3ctxq1tqvaCgkFb8cCA/edit?usp=sharing"",""ร้อยเอ็ด!J384"")"),515)</f>
        <v>515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IFERROR(__xludf.DUMMYFUNCTION("IMPORTRANGE(""https://docs.google.com/spreadsheets/d/1XL5vhW3sbDhbH9Cz0tuDiY8C3ctxq1tqvaCgkFb8cCA/edit?usp=sharing"",""ร้อยเอ็ด!J385"")"),38)</f>
        <v>38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IFERROR(__xludf.DUMMYFUNCTION("IMPORTRANGE(""https://docs.google.com/spreadsheets/d/1XL5vhW3sbDhbH9Cz0tuDiY8C3ctxq1tqvaCgkFb8cCA/edit?usp=sharing"",""ร้อยเอ็ด!J386"")"),3)</f>
        <v>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IFERROR(__xludf.DUMMYFUNCTION("IMPORTRANGE(""https://docs.google.com/spreadsheets/d/1XL5vhW3sbDhbH9Cz0tuDiY8C3ctxq1tqvaCgkFb8cCA/edit?usp=sharing"",""ร้อยเอ็ด!J387"")"),1)</f>
        <v>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IFERROR(__xludf.DUMMYFUNCTION("IMPORTRANGE(""https://docs.google.com/spreadsheets/d/1XL5vhW3sbDhbH9Cz0tuDiY8C3ctxq1tqvaCgkFb8cCA/edit?usp=sharing"",""ร้อยเอ็ด!J388"")"),10620)</f>
        <v>10620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IFERROR(__xludf.DUMMYFUNCTION("IMPORTRANGE(""https://docs.google.com/spreadsheets/d/1XL5vhW3sbDhbH9Cz0tuDiY8C3ctxq1tqvaCgkFb8cCA/edit?usp=sharing"",""ร้อยเอ็ด!J389"")"),689)</f>
        <v>689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IFERROR(__xludf.DUMMYFUNCTION("IMPORTRANGE(""https://docs.google.com/spreadsheets/d/1XL5vhW3sbDhbH9Cz0tuDiY8C3ctxq1tqvaCgkFb8cCA/edit?usp=sharing"",""ร้อยเอ็ด!J392"")"),207)</f>
        <v>207</v>
      </c>
      <c r="K497" s="444">
        <f t="shared" ca="1" si="117"/>
        <v>36.188811188811187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IFERROR(__xludf.DUMMYFUNCTION("IMPORTRANGE(""https://docs.google.com/spreadsheets/d/1XL5vhW3sbDhbH9Cz0tuDiY8C3ctxq1tqvaCgkFb8cCA/edit?usp=sharing"",""ร้อยเอ็ด!J393"")"),207)</f>
        <v>207</v>
      </c>
      <c r="K498" s="202">
        <f t="shared" ca="1" si="117"/>
        <v>36.188811188811187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IFERROR(__xludf.DUMMYFUNCTION("IMPORTRANGE(""https://docs.google.com/spreadsheets/d/1XL5vhW3sbDhbH9Cz0tuDiY8C3ctxq1tqvaCgkFb8cCA/edit?usp=sharing"",""ร้อยเอ็ด!J394"")"),20)</f>
        <v>20</v>
      </c>
      <c r="K499" s="202">
        <f t="shared" ca="1" si="117"/>
        <v>33.333333333333336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IFERROR(__xludf.DUMMYFUNCTION("IMPORTRANGE(""https://docs.google.com/spreadsheets/d/1XL5vhW3sbDhbH9Cz0tuDiY8C3ctxq1tqvaCgkFb8cCA/edit?usp=sharing"",""ร้อยเอ็ด!J395"")"),207)</f>
        <v>207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IFERROR(__xludf.DUMMYFUNCTION("IMPORTRANGE(""https://docs.google.com/spreadsheets/d/1XL5vhW3sbDhbH9Cz0tuDiY8C3ctxq1tqvaCgkFb8cCA/edit?usp=sharing"",""ร้อยเอ็ด!J397"")"),207)</f>
        <v>207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IFERROR(__xludf.DUMMYFUNCTION("IMPORTRANGE(""https://docs.google.com/spreadsheets/d/1XL5vhW3sbDhbH9Cz0tuDiY8C3ctxq1tqvaCgkFb8cCA/edit?usp=sharing"",""ร้อยเอ็ด!J398"")"),20)</f>
        <v>20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IFERROR(__xludf.DUMMYFUNCTION("IMPORTRANGE(""https://docs.google.com/spreadsheets/d/1XL5vhW3sbDhbH9Cz0tuDiY8C3ctxq1tqvaCgkFb8cCA/edit?usp=sharing"",""ร้อยเอ็ด!I411"")"),0)</f>
        <v>0</v>
      </c>
      <c r="J516" s="267">
        <f ca="1">IFERROR(__xludf.DUMMYFUNCTION("IMPORTRANGE(""https://docs.google.com/spreadsheets/d/1XL5vhW3sbDhbH9Cz0tuDiY8C3ctxq1tqvaCgkFb8cCA/edit?usp=sharing"",""ร้อยเอ็ด!J411"")"),0)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IFERROR(__xludf.DUMMYFUNCTION("IMPORTRANGE(""https://docs.google.com/spreadsheets/d/1XL5vhW3sbDhbH9Cz0tuDiY8C3ctxq1tqvaCgkFb8cCA/edit?usp=sharing"",""ร้อยเอ็ด!I412"")"),0)</f>
        <v>0</v>
      </c>
      <c r="J517" s="284">
        <f ca="1">IFERROR(__xludf.DUMMYFUNCTION("IMPORTRANGE(""https://docs.google.com/spreadsheets/d/1XL5vhW3sbDhbH9Cz0tuDiY8C3ctxq1tqvaCgkFb8cCA/edit?usp=sharing"",""ร้อยเอ็ด!J412"")"),0)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IFERROR(__xludf.DUMMYFUNCTION("IMPORTRANGE(""https://docs.google.com/spreadsheets/d/1XL5vhW3sbDhbH9Cz0tuDiY8C3ctxq1tqvaCgkFb8cCA/edit?usp=sharing"",""ร้อยเอ็ด!I413"")"),0)</f>
        <v>0</v>
      </c>
      <c r="J518" s="284">
        <f ca="1">IFERROR(__xludf.DUMMYFUNCTION("IMPORTRANGE(""https://docs.google.com/spreadsheets/d/1XL5vhW3sbDhbH9Cz0tuDiY8C3ctxq1tqvaCgkFb8cCA/edit?usp=sharing"",""ร้อยเอ็ด!J413"")"),0)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IFERROR(__xludf.DUMMYFUNCTION("IMPORTRANGE(""https://docs.google.com/spreadsheets/d/1XL5vhW3sbDhbH9Cz0tuDiY8C3ctxq1tqvaCgkFb8cCA/edit?usp=sharing"",""ร้อยเอ็ด!I420"")"),0)</f>
        <v>0</v>
      </c>
      <c r="J525" s="284">
        <f ca="1">IFERROR(__xludf.DUMMYFUNCTION("IMPORTRANGE(""https://docs.google.com/spreadsheets/d/1XL5vhW3sbDhbH9Cz0tuDiY8C3ctxq1tqvaCgkFb8cCA/edit?usp=sharing"",""ร้อยเอ็ด!J420"")"),0)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IFERROR(__xludf.DUMMYFUNCTION("IMPORTRANGE(""https://docs.google.com/spreadsheets/d/1XL5vhW3sbDhbH9Cz0tuDiY8C3ctxq1tqvaCgkFb8cCA/edit?usp=sharing"",""ร้อยเอ็ด!I421"")"),0)</f>
        <v>0</v>
      </c>
      <c r="J526" s="284">
        <f ca="1">IFERROR(__xludf.DUMMYFUNCTION("IMPORTRANGE(""https://docs.google.com/spreadsheets/d/1XL5vhW3sbDhbH9Cz0tuDiY8C3ctxq1tqvaCgkFb8cCA/edit?usp=sharing"",""ร้อยเอ็ด!J421"")"),0)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IFERROR(__xludf.DUMMYFUNCTION("IMPORTRANGE(""https://docs.google.com/spreadsheets/d/1XL5vhW3sbDhbH9Cz0tuDiY8C3ctxq1tqvaCgkFb8cCA/edit?usp=sharing"",""ร้อยเอ็ด!L430"")"),34340)</f>
        <v>34340</v>
      </c>
      <c r="M535" s="165"/>
      <c r="N535" s="169">
        <f ca="1">IFERROR(__xludf.DUMMYFUNCTION("IMPORTRANGE(""https://docs.google.com/spreadsheets/d/1XL5vhW3sbDhbH9Cz0tuDiY8C3ctxq1tqvaCgkFb8cCA/edit?usp=sharing"",""ร้อยเอ็ด!M430"")"),34340)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IFERROR(__xludf.DUMMYFUNCTION("IMPORTRANGE(""https://docs.google.com/spreadsheets/d/1XL5vhW3sbDhbH9Cz0tuDiY8C3ctxq1tqvaCgkFb8cCA/edit?usp=sharing"",""ร้อยเอ็ด!L432"")"),34340)</f>
        <v>34340</v>
      </c>
      <c r="M537" s="169"/>
      <c r="N537" s="169">
        <f ca="1">IFERROR(__xludf.DUMMYFUNCTION("IMPORTRANGE(""https://docs.google.com/spreadsheets/d/1XL5vhW3sbDhbH9Cz0tuDiY8C3ctxq1tqvaCgkFb8cCA/edit?usp=sharing"",""ร้อยเอ็ด!M432"")"),34340)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IFERROR(__xludf.DUMMYFUNCTION("IMPORTRANGE(""https://docs.google.com/spreadsheets/d/1XL5vhW3sbDhbH9Cz0tuDiY8C3ctxq1tqvaCgkFb8cCA/edit?usp=sharing"",""ร้อยเอ็ด!J459"")"),10191)</f>
        <v>10191</v>
      </c>
      <c r="K564" s="372">
        <f ca="1">IF(I564&gt;0,J564*100/I564,0)</f>
        <v>363.96428571428572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IFERROR(__xludf.DUMMYFUNCTION("IMPORTRANGE(""https://docs.google.com/spreadsheets/d/1XL5vhW3sbDhbH9Cz0tuDiY8C3ctxq1tqvaCgkFb8cCA/edit?usp=sharing"",""ร้อยเอ็ด!M459"")"),128846.48)</f>
        <v>128846.48</v>
      </c>
      <c r="O564" s="373">
        <f t="shared" ref="O564:O568" ca="1" si="122">+IF(L564&gt;0,N564*100/L564,0)</f>
        <v>90.077237136465328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IFERROR(__xludf.DUMMYFUNCTION("IMPORTRANGE(""https://docs.google.com/spreadsheets/d/1XL5vhW3sbDhbH9Cz0tuDiY8C3ctxq1tqvaCgkFb8cCA/edit?usp=sharing"",""ร้อยเอ็ด!M461"")"),128846.48)</f>
        <v>128846.48</v>
      </c>
      <c r="O566" s="169">
        <f t="shared" ca="1" si="122"/>
        <v>90.077237136465328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IFERROR(__xludf.DUMMYFUNCTION("IMPORTRANGE(""https://docs.google.com/spreadsheets/d/1XL5vhW3sbDhbH9Cz0tuDiY8C3ctxq1tqvaCgkFb8cCA/edit?usp=sharing"",""ร้อยเอ็ด!M463"")"),128846.48)</f>
        <v>128846.48</v>
      </c>
      <c r="O568" s="169">
        <f t="shared" ca="1" si="122"/>
        <v>90.077237136465328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IFERROR(__xludf.DUMMYFUNCTION("IMPORTRANGE(""https://docs.google.com/spreadsheets/d/1XL5vhW3sbDhbH9Cz0tuDiY8C3ctxq1tqvaCgkFb8cCA/edit?usp=sharing"",""ร้อยเอ็ด!M466"")"),73806.48)</f>
        <v>73806.48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IFERROR(__xludf.DUMMYFUNCTION("IMPORTRANGE(""https://docs.google.com/spreadsheets/d/1XL5vhW3sbDhbH9Cz0tuDiY8C3ctxq1tqvaCgkFb8cCA/edit?usp=sharing"",""ร้อยเอ็ด!M467"")"),55040)</f>
        <v>55040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IFERROR(__xludf.DUMMYFUNCTION("IMPORTRANGE(""https://docs.google.com/spreadsheets/d/1XL5vhW3sbDhbH9Cz0tuDiY8C3ctxq1tqvaCgkFb8cCA/edit?usp=sharing"",""ร้อยเอ็ด!J468"")"),10191)</f>
        <v>10191</v>
      </c>
      <c r="K573" s="202">
        <f ca="1">IF(I573&gt;0,J573*100/I573,0)</f>
        <v>363.96428571428572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IFERROR(__xludf.DUMMYFUNCTION("IMPORTRANGE(""https://docs.google.com/spreadsheets/d/1XL5vhW3sbDhbH9Cz0tuDiY8C3ctxq1tqvaCgkFb8cCA/edit?usp=sharing"",""ร้อยเอ็ด!J471"")"),85)</f>
        <v>85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IFERROR(__xludf.DUMMYFUNCTION("IMPORTRANGE(""https://docs.google.com/spreadsheets/d/1XL5vhW3sbDhbH9Cz0tuDiY8C3ctxq1tqvaCgkFb8cCA/edit?usp=sharing"",""ร้อยเอ็ด!J472"")"),10105)</f>
        <v>10105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IFERROR(__xludf.DUMMYFUNCTION("IMPORTRANGE(""https://docs.google.com/spreadsheets/d/1XL5vhW3sbDhbH9Cz0tuDiY8C3ctxq1tqvaCgkFb8cCA/edit?usp=sharing"",""ร้อยเอ็ด!J475"")"),73)</f>
        <v>73</v>
      </c>
      <c r="K580" s="372">
        <f ca="1">IF(I580&gt;0,J580*100/I580,0)</f>
        <v>60.833333333333336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IFERROR(__xludf.DUMMYFUNCTION("IMPORTRANGE(""https://docs.google.com/spreadsheets/d/1XL5vhW3sbDhbH9Cz0tuDiY8C3ctxq1tqvaCgkFb8cCA/edit?usp=sharing"",""ร้อยเอ็ด!M475"")"),119335.4)</f>
        <v>119335.4</v>
      </c>
      <c r="O580" s="373">
        <f t="shared" ref="O580:O584" ca="1" si="124">+IF(L580&gt;0,N580*100/L580,0)</f>
        <v>40.123529016206035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IFERROR(__xludf.DUMMYFUNCTION("IMPORTRANGE(""https://docs.google.com/spreadsheets/d/1XL5vhW3sbDhbH9Cz0tuDiY8C3ctxq1tqvaCgkFb8cCA/edit?usp=sharing"",""ร้อยเอ็ด!M477"")"),119335.4)</f>
        <v>119335.4</v>
      </c>
      <c r="O582" s="169">
        <f t="shared" ca="1" si="124"/>
        <v>40.123529016206035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IFERROR(__xludf.DUMMYFUNCTION("IMPORTRANGE(""https://docs.google.com/spreadsheets/d/1XL5vhW3sbDhbH9Cz0tuDiY8C3ctxq1tqvaCgkFb8cCA/edit?usp=sharing"",""ร้อยเอ็ด!M479"")"),119335.4)</f>
        <v>119335.4</v>
      </c>
      <c r="O584" s="169">
        <f t="shared" ca="1" si="124"/>
        <v>40.123529016206035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IFERROR(__xludf.DUMMYFUNCTION("IMPORTRANGE(""https://docs.google.com/spreadsheets/d/1XL5vhW3sbDhbH9Cz0tuDiY8C3ctxq1tqvaCgkFb8cCA/edit?usp=sharing"",""ร้อยเอ็ด!M482"")"),41480.4)</f>
        <v>41480.400000000001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IFERROR(__xludf.DUMMYFUNCTION("IMPORTRANGE(""https://docs.google.com/spreadsheets/d/1XL5vhW3sbDhbH9Cz0tuDiY8C3ctxq1tqvaCgkFb8cCA/edit?usp=sharing"",""ร้อยเอ็ด!M483"")"),77855)</f>
        <v>77855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IFERROR(__xludf.DUMMYFUNCTION("IMPORTRANGE(""https://docs.google.com/spreadsheets/d/1XL5vhW3sbDhbH9Cz0tuDiY8C3ctxq1tqvaCgkFb8cCA/edit?usp=sharing"",""ร้อยเอ็ด!J484"")"),136)</f>
        <v>136</v>
      </c>
      <c r="K589" s="163">
        <f t="shared" ref="K589:K596" ca="1" si="125">IF(I589&gt;0,J589*100/I589,0)</f>
        <v>113.33333333333333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IFERROR(__xludf.DUMMYFUNCTION("IMPORTRANGE(""https://docs.google.com/spreadsheets/d/1XL5vhW3sbDhbH9Cz0tuDiY8C3ctxq1tqvaCgkFb8cCA/edit?usp=sharing"",""ร้อยเอ็ด!J485"")"),70.34)</f>
        <v>70.34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IFERROR(__xludf.DUMMYFUNCTION("IMPORTRANGE(""https://docs.google.com/spreadsheets/d/1XL5vhW3sbDhbH9Cz0tuDiY8C3ctxq1tqvaCgkFb8cCA/edit?usp=sharing"",""ร้อยเอ็ด!J486"")"),107)</f>
        <v>107</v>
      </c>
      <c r="K591" s="163">
        <f t="shared" ca="1" si="125"/>
        <v>89.166666666666671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IFERROR(__xludf.DUMMYFUNCTION("IMPORTRANGE(""https://docs.google.com/spreadsheets/d/1XL5vhW3sbDhbH9Cz0tuDiY8C3ctxq1tqvaCgkFb8cCA/edit?usp=sharing"",""ร้อยเอ็ด!J487"")"),63.97)</f>
        <v>63.97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IFERROR(__xludf.DUMMYFUNCTION("IMPORTRANGE(""https://docs.google.com/spreadsheets/d/1XL5vhW3sbDhbH9Cz0tuDiY8C3ctxq1tqvaCgkFb8cCA/edit?usp=sharing"",""ร้อยเอ็ด!J488"")"),82)</f>
        <v>82</v>
      </c>
      <c r="K593" s="163">
        <f t="shared" ca="1" si="125"/>
        <v>68.333333333333329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IFERROR(__xludf.DUMMYFUNCTION("IMPORTRANGE(""https://docs.google.com/spreadsheets/d/1XL5vhW3sbDhbH9Cz0tuDiY8C3ctxq1tqvaCgkFb8cCA/edit?usp=sharing"",""ร้อยเอ็ด!J489"")"),47.09)</f>
        <v>47.09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IFERROR(__xludf.DUMMYFUNCTION("IMPORTRANGE(""https://docs.google.com/spreadsheets/d/1XL5vhW3sbDhbH9Cz0tuDiY8C3ctxq1tqvaCgkFb8cCA/edit?usp=sharing"",""ร้อยเอ็ด!J490"")"),73)</f>
        <v>73</v>
      </c>
      <c r="K595" s="163">
        <f t="shared" ca="1" si="125"/>
        <v>60.833333333333336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IFERROR(__xludf.DUMMYFUNCTION("IMPORTRANGE(""https://docs.google.com/spreadsheets/d/1XL5vhW3sbDhbH9Cz0tuDiY8C3ctxq1tqvaCgkFb8cCA/edit?usp=sharing"",""ร้อยเอ็ด!I491"")"),0)</f>
        <v>0</v>
      </c>
      <c r="J596" s="241">
        <f ca="1">IFERROR(__xludf.DUMMYFUNCTION("IMPORTRANGE(""https://docs.google.com/spreadsheets/d/1XL5vhW3sbDhbH9Cz0tuDiY8C3ctxq1tqvaCgkFb8cCA/edit?usp=sharing"",""ร้อยเอ็ด!J491"")"),41.2)</f>
        <v>41.2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7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IFERROR(__xludf.DUMMYFUNCTION("IMPORTRANGE(""https://docs.google.com/spreadsheets/d/1XL5vhW3sbDhbH9Cz0tuDiY8C3ctxq1tqvaCgkFb8cCA/edit?usp=sharing"",""ร้อยเอ็ด!L492"")"),7300)</f>
        <v>7300</v>
      </c>
      <c r="M597" s="412"/>
      <c r="N597" s="412">
        <f ca="1">IFERROR(__xludf.DUMMYFUNCTION("IMPORTRANGE(""https://docs.google.com/spreadsheets/d/1XL5vhW3sbDhbH9Cz0tuDiY8C3ctxq1tqvaCgkFb8cCA/edit?usp=sharing"",""ร้อยเอ็ด!M492"")"),1800)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IFERROR(__xludf.DUMMYFUNCTION("IMPORTRANGE(""https://docs.google.com/spreadsheets/d/1XL5vhW3sbDhbH9Cz0tuDiY8C3ctxq1tqvaCgkFb8cCA/edit?usp=sharing"",""ร้อยเอ็ด!L494"")"),7300)</f>
        <v>7300</v>
      </c>
      <c r="M599" s="165"/>
      <c r="N599" s="169">
        <f ca="1">IFERROR(__xludf.DUMMYFUNCTION("IMPORTRANGE(""https://docs.google.com/spreadsheets/d/1XL5vhW3sbDhbH9Cz0tuDiY8C3ctxq1tqvaCgkFb8cCA/edit?usp=sharing"",""ร้อยเอ็ด!M494"")"),1800)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IFERROR(__xludf.DUMMYFUNCTION("IMPORTRANGE(""https://docs.google.com/spreadsheets/d/1XL5vhW3sbDhbH9Cz0tuDiY8C3ctxq1tqvaCgkFb8cCA/edit?usp=sharing"",""ร้อยเอ็ด!L496"")"),7300)</f>
        <v>7300</v>
      </c>
      <c r="M601" s="169"/>
      <c r="N601" s="169">
        <f ca="1">IFERROR(__xludf.DUMMYFUNCTION("IMPORTRANGE(""https://docs.google.com/spreadsheets/d/1XL5vhW3sbDhbH9Cz0tuDiY8C3ctxq1tqvaCgkFb8cCA/edit?usp=sharing"",""ร้อยเอ็ด!M496"")"),1800)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IFERROR(__xludf.DUMMYFUNCTION("IMPORTRANGE(""https://docs.google.com/spreadsheets/d/1XL5vhW3sbDhbH9Cz0tuDiY8C3ctxq1tqvaCgkFb8cCA/edit?usp=sharing"",""ร้อยเอ็ด!J166"")"),0)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IFERROR(__xludf.DUMMYFUNCTION("IMPORTRANGE(""https://docs.google.com/spreadsheets/d/1XL5vhW3sbDhbH9Cz0tuDiY8C3ctxq1tqvaCgkFb8cCA/edit?usp=sharing"",""ร้อยเอ็ด!J166"")"),0)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IFERROR(__xludf.DUMMYFUNCTION("IMPORTRANGE(""https://docs.google.com/spreadsheets/d/1XL5vhW3sbDhbH9Cz0tuDiY8C3ctxq1tqvaCgkFb8cCA/edit?usp=sharing"",""ร้อยเอ็ด!J507"")"),100)</f>
        <v>100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IFERROR(__xludf.DUMMYFUNCTION("IMPORTRANGE(""https://docs.google.com/spreadsheets/d/1XL5vhW3sbDhbH9Cz0tuDiY8C3ctxq1tqvaCgkFb8cCA/edit?usp=sharing"",""ร้อยเอ็ด!J508"")"),100)</f>
        <v>100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IFERROR(__xludf.DUMMYFUNCTION("IMPORTRANGE(""https://docs.google.com/spreadsheets/d/1XL5vhW3sbDhbH9Cz0tuDiY8C3ctxq1tqvaCgkFb8cCA/edit?usp=sharing"",""ร้อยเอ็ด!J509"")"),100)</f>
        <v>100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IFERROR(__xludf.DUMMYFUNCTION("IMPORTRANGE(""https://docs.google.com/spreadsheets/d/1XL5vhW3sbDhbH9Cz0tuDiY8C3ctxq1tqvaCgkFb8cCA/edit?usp=sharing"",""ร้อยเอ็ด!J510"")"),100)</f>
        <v>100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1">
        <f ca="1">IFERROR(__xludf.DUMMYFUNCTION("IMPORTRANGE(""https://docs.google.com/spreadsheets/d/1XL5vhW3sbDhbH9Cz0tuDiY8C3ctxq1tqvaCgkFb8cCA/edit?usp=sharing"",""ร้อยเอ็ด!J523"")"),3701190.7)</f>
        <v>3701190.7</v>
      </c>
      <c r="K628" s="342">
        <f t="shared" ref="K628:K635" ca="1" si="129">IF(I628&gt;0,J628*100/I628,0)</f>
        <v>62.106086621029135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IFERROR(__xludf.DUMMYFUNCTION("IMPORTRANGE(""https://docs.google.com/spreadsheets/d/1XL5vhW3sbDhbH9Cz0tuDiY8C3ctxq1tqvaCgkFb8cCA/edit?usp=sharing"",""ร้อยเอ็ด!I524"")"),610)</f>
        <v>610</v>
      </c>
      <c r="J629" s="341">
        <f ca="1">IFERROR(__xludf.DUMMYFUNCTION("IMPORTRANGE(""https://docs.google.com/spreadsheets/d/1XL5vhW3sbDhbH9Cz0tuDiY8C3ctxq1tqvaCgkFb8cCA/edit?usp=sharing"",""ร้อยเอ็ด!J524"")"),293)</f>
        <v>293</v>
      </c>
      <c r="K629" s="342">
        <f t="shared" ca="1" si="129"/>
        <v>48.032786885245905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1">
        <f ca="1">IFERROR(__xludf.DUMMYFUNCTION("IMPORTRANGE(""https://docs.google.com/spreadsheets/d/1XL5vhW3sbDhbH9Cz0tuDiY8C3ctxq1tqvaCgkFb8cCA/edit?usp=sharing"",""ร้อยเอ็ด!J525"")"),4521981.66)</f>
        <v>4521981.66</v>
      </c>
      <c r="K630" s="342">
        <f t="shared" ca="1" si="129"/>
        <v>13.161414767040128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IFERROR(__xludf.DUMMYFUNCTION("IMPORTRANGE(""https://docs.google.com/spreadsheets/d/1XL5vhW3sbDhbH9Cz0tuDiY8C3ctxq1tqvaCgkFb8cCA/edit?usp=sharing"",""ร้อยเอ็ด!I526"")"),1701)</f>
        <v>1701</v>
      </c>
      <c r="J631" s="341">
        <f ca="1">IFERROR(__xludf.DUMMYFUNCTION("IMPORTRANGE(""https://docs.google.com/spreadsheets/d/1XL5vhW3sbDhbH9Cz0tuDiY8C3ctxq1tqvaCgkFb8cCA/edit?usp=sharing"",""ร้อยเอ็ด!J526"")"),926)</f>
        <v>926</v>
      </c>
      <c r="K631" s="342">
        <f t="shared" ca="1" si="129"/>
        <v>54.43856554967666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IFERROR(__xludf.DUMMYFUNCTION("IMPORTRANGE(""https://docs.google.com/spreadsheets/d/1XL5vhW3sbDhbH9Cz0tuDiY8C3ctxq1tqvaCgkFb8cCA/edit?usp=sharing"",""ร้อยเอ็ด!I527"")"),0)</f>
        <v>0</v>
      </c>
      <c r="J632" s="341">
        <f ca="1">IFERROR(__xludf.DUMMYFUNCTION("IMPORTRANGE(""https://docs.google.com/spreadsheets/d/1XL5vhW3sbDhbH9Cz0tuDiY8C3ctxq1tqvaCgkFb8cCA/edit?usp=sharing"",""ร้อยเอ็ด!J527"")"),1630.18)</f>
        <v>1630.18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IFERROR(__xludf.DUMMYFUNCTION("IMPORTRANGE(""https://docs.google.com/spreadsheets/d/1XL5vhW3sbDhbH9Cz0tuDiY8C3ctxq1tqvaCgkFb8cCA/edit?usp=sharing"",""ร้อยเอ็ด!I528"")"),0)</f>
        <v>0</v>
      </c>
      <c r="J633" s="341">
        <f ca="1">IFERROR(__xludf.DUMMYFUNCTION("IMPORTRANGE(""https://docs.google.com/spreadsheets/d/1XL5vhW3sbDhbH9Cz0tuDiY8C3ctxq1tqvaCgkFb8cCA/edit?usp=sharing"",""ร้อยเอ็ด!J528"")"),2)</f>
        <v>2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IFERROR(__xludf.DUMMYFUNCTION("IMPORTRANGE(""https://docs.google.com/spreadsheets/d/1XL5vhW3sbDhbH9Cz0tuDiY8C3ctxq1tqvaCgkFb8cCA/edit?usp=sharing"",""ร้อยเอ็ด!I529"")"),3000000)</f>
        <v>3000000</v>
      </c>
      <c r="J634" s="341">
        <f ca="1">IFERROR(__xludf.DUMMYFUNCTION("IMPORTRANGE(""https://docs.google.com/spreadsheets/d/1XL5vhW3sbDhbH9Cz0tuDiY8C3ctxq1tqvaCgkFb8cCA/edit?usp=sharing"",""ร้อยเอ็ด!J529"")"),3000000)</f>
        <v>3000000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IFERROR(__xludf.DUMMYFUNCTION("IMPORTRANGE(""https://docs.google.com/spreadsheets/d/1XL5vhW3sbDhbH9Cz0tuDiY8C3ctxq1tqvaCgkFb8cCA/edit?usp=sharing"",""ร้อยเอ็ด!I530"")"),80)</f>
        <v>80</v>
      </c>
      <c r="J635" s="504">
        <f ca="1">IFERROR(__xludf.DUMMYFUNCTION("IMPORTRANGE(""https://docs.google.com/spreadsheets/d/1XL5vhW3sbDhbH9Cz0tuDiY8C3ctxq1tqvaCgkFb8cCA/edit?usp=sharing"",""ร้อยเอ็ด!J530"")"),80)</f>
        <v>80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1240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1240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1240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IFERROR(__xludf.DUMMYFUNCTION("IMPORTRANGE(""https://docs.google.com/spreadsheets/d/1XL5vhW3sbDhbH9Cz0tuDiY8C3ctxq1tqvaCgkFb8cCA/edit#gid=346597447"",""ร้อยเอ็ด!J541"")"),0)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IFERROR(__xludf.DUMMYFUNCTION("IMPORTRANGE(""https://docs.google.com/spreadsheets/d/1XL5vhW3sbDhbH9Cz0tuDiY8C3ctxq1tqvaCgkFb8cCA/edit#gid=346597447"",""ร้อยเอ็ด!J542"")"),0)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IFERROR(__xludf.DUMMYFUNCTION("IMPORTRANGE(""https://docs.google.com/spreadsheets/d/1XL5vhW3sbDhbH9Cz0tuDiY8C3ctxq1tqvaCgkFb8cCA/edit#gid=346597447"",""ร้อยเอ็ด!I543"")"),14)</f>
        <v>14</v>
      </c>
      <c r="J648" s="585">
        <f ca="1">IFERROR(__xludf.DUMMYFUNCTION("IMPORTRANGE(""https://docs.google.com/spreadsheets/d/1XL5vhW3sbDhbH9Cz0tuDiY8C3ctxq1tqvaCgkFb8cCA/edit#gid=346597447"",""ร้อยเอ็ด!J543"")"),0)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IFERROR(__xludf.DUMMYFUNCTION("IMPORTRANGE(""https://docs.google.com/spreadsheets/d/1XL5vhW3sbDhbH9Cz0tuDiY8C3ctxq1tqvaCgkFb8cCA/edit#gid=346597447"",""ร้อยเอ็ด!L543"")"),1120)</f>
        <v>1120</v>
      </c>
      <c r="M648" s="570"/>
      <c r="N648" s="587">
        <f ca="1">IFERROR(__xludf.DUMMYFUNCTION("IMPORTRANGE(""https://docs.google.com/spreadsheets/d/1XL5vhW3sbDhbH9Cz0tuDiY8C3ctxq1tqvaCgkFb8cCA/edit#gid=346597447"",""ร้อยเอ็ด!M543"")"),0)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IFERROR(__xludf.DUMMYFUNCTION("IMPORTRANGE(""https://docs.google.com/spreadsheets/d/1XL5vhW3sbDhbH9Cz0tuDiY8C3ctxq1tqvaCgkFb8cCA/edit#gid=346597447"",""ร้อยเอ็ด!I544"")"),1)</f>
        <v>1</v>
      </c>
      <c r="J649" s="585">
        <f ca="1">IFERROR(__xludf.DUMMYFUNCTION("IMPORTRANGE(""https://docs.google.com/spreadsheets/d/1XL5vhW3sbDhbH9Cz0tuDiY8C3ctxq1tqvaCgkFb8cCA/edit#gid=346597447"",""ร้อยเอ็ด!J544"")"),0)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IFERROR(__xludf.DUMMYFUNCTION("IMPORTRANGE(""https://docs.google.com/spreadsheets/d/1XL5vhW3sbDhbH9Cz0tuDiY8C3ctxq1tqvaCgkFb8cCA/edit#gid=346597447"",""ร้อยเอ็ด!L544"")"),120)</f>
        <v>120</v>
      </c>
      <c r="M649" s="570"/>
      <c r="N649" s="587">
        <f ca="1">IFERROR(__xludf.DUMMYFUNCTION("IMPORTRANGE(""https://docs.google.com/spreadsheets/d/1XL5vhW3sbDhbH9Cz0tuDiY8C3ctxq1tqvaCgkFb8cCA/edit#gid=346597447"",""ร้อยเอ็ด!M544"")"),0)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IFERROR(__xludf.DUMMYFUNCTION("IMPORTRANGE(""https://docs.google.com/spreadsheets/d/1XL5vhW3sbDhbH9Cz0tuDiY8C3ctxq1tqvaCgkFb8cCA/edit#gid=346597447"",""ร้อยเอ็ด!I545"")"),0)</f>
        <v>0</v>
      </c>
      <c r="J650" s="585">
        <f ca="1">IFERROR(__xludf.DUMMYFUNCTION("IMPORTRANGE(""https://docs.google.com/spreadsheets/d/1XL5vhW3sbDhbH9Cz0tuDiY8C3ctxq1tqvaCgkFb8cCA/edit#gid=346597447"",""ร้อยเอ็ด!J545"")"),0)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IFERROR(__xludf.DUMMYFUNCTION("IMPORTRANGE(""https://docs.google.com/spreadsheets/d/1XL5vhW3sbDhbH9Cz0tuDiY8C3ctxq1tqvaCgkFb8cCA/edit#gid=346597447"",""ร้อยเอ็ด!L545"")"),0)</f>
        <v>0</v>
      </c>
      <c r="M650" s="570"/>
      <c r="N650" s="587">
        <f ca="1">IFERROR(__xludf.DUMMYFUNCTION("IMPORTRANGE(""https://docs.google.com/spreadsheets/d/1XL5vhW3sbDhbH9Cz0tuDiY8C3ctxq1tqvaCgkFb8cCA/edit#gid=346597447"",""ร้อยเอ็ด!M545"")"),0)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IFERROR(__xludf.DUMMYFUNCTION("IMPORTRANGE(""https://docs.google.com/spreadsheets/d/1XL5vhW3sbDhbH9Cz0tuDiY8C3ctxq1tqvaCgkFb8cCA/edit#gid=346597447"",""ร้อยเอ็ด!I546"")"),0)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IFERROR(__xludf.DUMMYFUNCTION("IMPORTRANGE(""https://docs.google.com/spreadsheets/d/1XL5vhW3sbDhbH9Cz0tuDiY8C3ctxq1tqvaCgkFb8cCA/edit#gid=346597447"",""ร้อยเอ็ด!L546"")"),0)</f>
        <v>0</v>
      </c>
      <c r="M651" s="570"/>
      <c r="N651" s="587">
        <f ca="1">IFERROR(__xludf.DUMMYFUNCTION("IMPORTRANGE(""https://docs.google.com/spreadsheets/d/1XL5vhW3sbDhbH9Cz0tuDiY8C3ctxq1tqvaCgkFb8cCA/edit#gid=346597447"",""ร้อยเอ็ด!M546"")"),0)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IFERROR(__xludf.DUMMYFUNCTION("IMPORTRANGE(""https://docs.google.com/spreadsheets/d/1XL5vhW3sbDhbH9Cz0tuDiY8C3ctxq1tqvaCgkFb8cCA/edit#gid=346597447"",""ร้อยเอ็ด!J547"")"),0)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IFERROR(__xludf.DUMMYFUNCTION("IMPORTRANGE(""https://docs.google.com/spreadsheets/d/1XL5vhW3sbDhbH9Cz0tuDiY8C3ctxq1tqvaCgkFb8cCA/edit#gid=346597447"",""ร้อยเอ็ด!J548"")"),0)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IFERROR(__xludf.DUMMYFUNCTION("IMPORTRANGE(""https://docs.google.com/spreadsheets/d/1XL5vhW3sbDhbH9Cz0tuDiY8C3ctxq1tqvaCgkFb8cCA/edit#gid=346597447"",""ร้อยเอ็ด!J550"")"),0)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IFERROR(__xludf.DUMMYFUNCTION("IMPORTRANGE(""https://docs.google.com/spreadsheets/d/1XL5vhW3sbDhbH9Cz0tuDiY8C3ctxq1tqvaCgkFb8cCA/edit#gid=346597447"",""ร้อยเอ็ด!J551"")"),0)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IFERROR(__xludf.DUMMYFUNCTION("IMPORTRANGE(""https://docs.google.com/spreadsheets/d/1XL5vhW3sbDhbH9Cz0tuDiY8C3ctxq1tqvaCgkFb8cCA/edit#gid=346597447"",""ร้อยเอ็ด!J552"")"),0)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IFERROR(__xludf.DUMMYFUNCTION("IMPORTRANGE(""https://docs.google.com/spreadsheets/d/1XL5vhW3sbDhbH9Cz0tuDiY8C3ctxq1tqvaCgkFb8cCA/edit#gid=346597447"",""ร้อยเอ็ด!J553"")"),0)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IFERROR(__xludf.DUMMYFUNCTION("IMPORTRANGE(""https://docs.google.com/spreadsheets/d/1XL5vhW3sbDhbH9Cz0tuDiY8C3ctxq1tqvaCgkFb8cCA/edit#gid=346597447"",""ร้อยเอ็ด!J554"")"),0)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IFERROR(__xludf.DUMMYFUNCTION("IMPORTRANGE(""https://docs.google.com/spreadsheets/d/1XL5vhW3sbDhbH9Cz0tuDiY8C3ctxq1tqvaCgkFb8cCA/edit#gid=346597447"",""ร้อยเอ็ด!J555"")"),0)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IFERROR(__xludf.DUMMYFUNCTION("IMPORTRANGE(""https://docs.google.com/spreadsheets/d/1XL5vhW3sbDhbH9Cz0tuDiY8C3ctxq1tqvaCgkFb8cCA/edit#gid=346597447"",""ร้อยเอ็ด!J556"")"),0)</f>
        <v>0</v>
      </c>
      <c r="K661" s="586"/>
      <c r="L661" s="571">
        <f ca="1">IFERROR(__xludf.DUMMYFUNCTION("IMPORTRANGE(""https://docs.google.com/spreadsheets/d/1XL5vhW3sbDhbH9Cz0tuDiY8C3ctxq1tqvaCgkFb8cCA/edit#gid=346597447"",""ร้อยเอ็ด!L556"")"),0)</f>
        <v>0</v>
      </c>
      <c r="M661" s="570"/>
      <c r="N661" s="587">
        <f ca="1">IFERROR(__xludf.DUMMYFUNCTION("IMPORTRANGE(""https://docs.google.com/spreadsheets/d/1XL5vhW3sbDhbH9Cz0tuDiY8C3ctxq1tqvaCgkFb8cCA/edit#gid=346597447"",""ร้อยเอ็ด!M556"")"),0)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IFERROR(__xludf.DUMMYFUNCTION("IMPORTRANGE(""https://docs.google.com/spreadsheets/d/1XL5vhW3sbDhbH9Cz0tuDiY8C3ctxq1tqvaCgkFb8cCA/edit#gid=346597447"",""ร้อยเอ็ด!J557"")"),0)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IFERROR(__xludf.DUMMYFUNCTION("IMPORTRANGE(""https://docs.google.com/spreadsheets/d/1XL5vhW3sbDhbH9Cz0tuDiY8C3ctxq1tqvaCgkFb8cCA/edit#gid=346597447"",""ร้อยเอ็ด!I558"")"),0)</f>
        <v>0</v>
      </c>
      <c r="J663" s="585">
        <f ca="1">IFERROR(__xludf.DUMMYFUNCTION("IMPORTRANGE(""https://docs.google.com/spreadsheets/d/1XL5vhW3sbDhbH9Cz0tuDiY8C3ctxq1tqvaCgkFb8cCA/edit#gid=346597447"",""ร้อยเอ็ด!J558"")"),0)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IFERROR(__xludf.DUMMYFUNCTION("IMPORTRANGE(""https://docs.google.com/spreadsheets/d/1XL5vhW3sbDhbH9Cz0tuDiY8C3ctxq1tqvaCgkFb8cCA/edit#gid=346597447"",""ร้อยเอ็ด!I560"")"),0)</f>
        <v>0</v>
      </c>
      <c r="J665" s="585">
        <f ca="1">IFERROR(__xludf.DUMMYFUNCTION("IMPORTRANGE(""https://docs.google.com/spreadsheets/d/1XL5vhW3sbDhbH9Cz0tuDiY8C3ctxq1tqvaCgkFb8cCA/edit#gid=346597447"",""ร้อยเอ็ด!J560"")"),0)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IFERROR(__xludf.DUMMYFUNCTION("IMPORTRANGE(""https://docs.google.com/spreadsheets/d/1XL5vhW3sbDhbH9Cz0tuDiY8C3ctxq1tqvaCgkFb8cCA/edit#gid=346597447"",""ร้อยเอ็ด!L560"")"),0)</f>
        <v>0</v>
      </c>
      <c r="M665" s="570"/>
      <c r="N665" s="587">
        <f ca="1">IFERROR(__xludf.DUMMYFUNCTION("IMPORTRANGE(""https://docs.google.com/spreadsheets/d/1XL5vhW3sbDhbH9Cz0tuDiY8C3ctxq1tqvaCgkFb8cCA/edit#gid=346597447"",""ร้อยเอ็ด!M560"")"),0)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IFERROR(__xludf.DUMMYFUNCTION("IMPORTRANGE(""https://docs.google.com/spreadsheets/d/1XL5vhW3sbDhbH9Cz0tuDiY8C3ctxq1tqvaCgkFb8cCA/edit#gid=346597447"",""ร้อยเอ็ด!J561"")"),0)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IFERROR(__xludf.DUMMYFUNCTION("IMPORTRANGE(""https://docs.google.com/spreadsheets/d/1XL5vhW3sbDhbH9Cz0tuDiY8C3ctxq1tqvaCgkFb8cCA/edit#gid=346597447"",""ร้อยเอ็ด!J562"")"),0)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IFERROR(__xludf.DUMMYFUNCTION("IMPORTRANGE(""https://docs.google.com/spreadsheets/d/1XL5vhW3sbDhbH9Cz0tuDiY8C3ctxq1tqvaCgkFb8cCA/edit#gid=346597447"",""ร้อยเอ็ด!I563"")"),0)</f>
        <v>0</v>
      </c>
      <c r="J668" s="585">
        <f ca="1">IFERROR(__xludf.DUMMYFUNCTION("IMPORTRANGE(""https://docs.google.com/spreadsheets/d/1XL5vhW3sbDhbH9Cz0tuDiY8C3ctxq1tqvaCgkFb8cCA/edit#gid=346597447"",""ร้อยเอ็ด!J563"")"),0)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IFERROR(__xludf.DUMMYFUNCTION("IMPORTRANGE(""https://docs.google.com/spreadsheets/d/1XL5vhW3sbDhbH9Cz0tuDiY8C3ctxq1tqvaCgkFb8cCA/edit#gid=346597447"",""ร้อยเอ็ด!L563"")"),0)</f>
        <v>0</v>
      </c>
      <c r="M668" s="570"/>
      <c r="N668" s="587">
        <f ca="1">IFERROR(__xludf.DUMMYFUNCTION("IMPORTRANGE(""https://docs.google.com/spreadsheets/d/1XL5vhW3sbDhbH9Cz0tuDiY8C3ctxq1tqvaCgkFb8cCA/edit#gid=346597447"",""ร้อยเอ็ด!M563"")"),0)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IFERROR(__xludf.DUMMYFUNCTION("IMPORTRANGE(""https://docs.google.com/spreadsheets/d/1XL5vhW3sbDhbH9Cz0tuDiY8C3ctxq1tqvaCgkFb8cCA/edit#gid=346597447"",""ร้อยเอ็ด!J564"")"),0)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IFERROR(__xludf.DUMMYFUNCTION("IMPORTRANGE(""https://docs.google.com/spreadsheets/d/1XL5vhW3sbDhbH9Cz0tuDiY8C3ctxq1tqvaCgkFb8cCA/edit#gid=346597447"",""ร้อยเอ็ด!J565"")"),0)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IFERROR(__xludf.DUMMYFUNCTION("IMPORTRANGE(""https://docs.google.com/spreadsheets/d/1XL5vhW3sbDhbH9Cz0tuDiY8C3ctxq1tqvaCgkFb8cCA/edit#gid=346597447"",""ร้อยเอ็ด!I566"")"),0)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IFERROR(__xludf.DUMMYFUNCTION("IMPORTRANGE(""https://docs.google.com/spreadsheets/d/1XL5vhW3sbDhbH9Cz0tuDiY8C3ctxq1tqvaCgkFb8cCA/edit#gid=346597447"",""ร้อยเอ็ด!L566"")"),0)</f>
        <v>0</v>
      </c>
      <c r="M671" s="570"/>
      <c r="N671" s="587">
        <f ca="1">IFERROR(__xludf.DUMMYFUNCTION("IMPORTRANGE(""https://docs.google.com/spreadsheets/d/1XL5vhW3sbDhbH9Cz0tuDiY8C3ctxq1tqvaCgkFb8cCA/edit#gid=346597447"",""ร้อยเอ็ด!M566"")"),0)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IFERROR(__xludf.DUMMYFUNCTION("IMPORTRANGE(""https://docs.google.com/spreadsheets/d/1XL5vhW3sbDhbH9Cz0tuDiY8C3ctxq1tqvaCgkFb8cCA/edit#gid=346597447"",""ร้อยเอ็ด!J567"")"),0)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IFERROR(__xludf.DUMMYFUNCTION("IMPORTRANGE(""https://docs.google.com/spreadsheets/d/1XL5vhW3sbDhbH9Cz0tuDiY8C3ctxq1tqvaCgkFb8cCA/edit#gid=346597447"",""ร้อยเอ็ด!J568"")"),0)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IFERROR(__xludf.DUMMYFUNCTION("IMPORTRANGE(""https://docs.google.com/spreadsheets/d/1XL5vhW3sbDhbH9Cz0tuDiY8C3ctxq1tqvaCgkFb8cCA/edit#gid=346597447"",""ร้อยเอ็ด!J569"")"),0)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IFERROR(__xludf.DUMMYFUNCTION("IMPORTRANGE(""https://docs.google.com/spreadsheets/d/1XL5vhW3sbDhbH9Cz0tuDiY8C3ctxq1tqvaCgkFb8cCA/edit#gid=346597447"",""ร้อยเอ็ด!J570"")"),0)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IFERROR(__xludf.DUMMYFUNCTION("IMPORTRANGE(""https://docs.google.com/spreadsheets/d/1XL5vhW3sbDhbH9Cz0tuDiY8C3ctxq1tqvaCgkFb8cCA/edit#gid=346597447"",""ร้อยเอ็ด!J571"")"),0)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IFERROR(__xludf.DUMMYFUNCTION("IMPORTRANGE(""https://docs.google.com/spreadsheets/d/1XL5vhW3sbDhbH9Cz0tuDiY8C3ctxq1tqvaCgkFb8cCA/edit#gid=346597447"",""ร้อยเอ็ด!J572"")"),0)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J32" sqref="J3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5703125" customWidth="1"/>
    <col min="8" max="8" width="10.85546875" customWidth="1"/>
    <col min="9" max="10" width="16.570312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6530451</v>
      </c>
      <c r="M8" s="23">
        <f t="shared" ca="1" si="0"/>
        <v>2742145</v>
      </c>
      <c r="N8" s="23">
        <f t="shared" ca="1" si="0"/>
        <v>2941941.46</v>
      </c>
      <c r="O8" s="22">
        <f t="shared" ref="O8:O16" ca="1" si="1">IF(L8&gt;0,N8*100/L8,0)</f>
        <v>45.049590908805534</v>
      </c>
      <c r="P8" s="22">
        <f t="shared" ref="P8:P16" ca="1" si="2">IF(M8&gt;0,N8*100/M8,0)</f>
        <v>107.28613767689163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6530451</v>
      </c>
      <c r="M10" s="30">
        <f t="shared" ca="1" si="4"/>
        <v>2742145</v>
      </c>
      <c r="N10" s="30">
        <f t="shared" ca="1" si="4"/>
        <v>2941941.46</v>
      </c>
      <c r="O10" s="29">
        <f t="shared" ca="1" si="1"/>
        <v>45.049590908805534</v>
      </c>
      <c r="P10" s="29">
        <f t="shared" ca="1" si="2"/>
        <v>107.28613767689163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6353451</v>
      </c>
      <c r="M12" s="38">
        <f t="shared" ca="1" si="6"/>
        <v>2565145</v>
      </c>
      <c r="N12" s="38">
        <f t="shared" ca="1" si="6"/>
        <v>2764941.46</v>
      </c>
      <c r="O12" s="38">
        <f t="shared" ca="1" si="1"/>
        <v>43.518734306757068</v>
      </c>
      <c r="P12" s="38">
        <f t="shared" ca="1" si="2"/>
        <v>107.78889536458952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2279400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4074051</v>
      </c>
      <c r="M14" s="38">
        <f t="shared" si="8"/>
        <v>0</v>
      </c>
      <c r="N14" s="38">
        <f t="shared" ca="1" si="8"/>
        <v>970193.07000000007</v>
      </c>
      <c r="O14" s="38">
        <f t="shared" ca="1" si="1"/>
        <v>23.813964773636854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3466205</v>
      </c>
      <c r="M18" s="23">
        <f t="shared" ca="1" si="11"/>
        <v>2742145</v>
      </c>
      <c r="N18" s="23">
        <f t="shared" ca="1" si="11"/>
        <v>1971748.3900000001</v>
      </c>
      <c r="O18" s="22">
        <f t="shared" ref="O18:O20" ca="1" si="12">IF(L18&gt;0,N18*100/L18,0)</f>
        <v>56.884932945397054</v>
      </c>
      <c r="P18" s="22">
        <f t="shared" ref="P18:P26" ca="1" si="13">IF(M18&gt;0,N18*100/M18,0)</f>
        <v>71.905329222196485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3466205</v>
      </c>
      <c r="M20" s="30">
        <f t="shared" ca="1" si="15"/>
        <v>2742145</v>
      </c>
      <c r="N20" s="30">
        <f t="shared" ca="1" si="15"/>
        <v>1971748.3900000001</v>
      </c>
      <c r="O20" s="29">
        <f t="shared" ca="1" si="12"/>
        <v>56.884932945397054</v>
      </c>
      <c r="P20" s="29">
        <f t="shared" ca="1" si="13"/>
        <v>71.905329222196485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3289205</v>
      </c>
      <c r="M22" s="41">
        <f t="shared" ca="1" si="18"/>
        <v>2565145</v>
      </c>
      <c r="N22" s="38">
        <f t="shared" ca="1" si="18"/>
        <v>1794748.3900000001</v>
      </c>
      <c r="O22" s="38">
        <f t="shared" ca="1" si="17"/>
        <v>54.564807909510051</v>
      </c>
      <c r="P22" s="38">
        <f t="shared" ca="1" si="13"/>
        <v>69.966742230946011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2279400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1009805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3064246</v>
      </c>
      <c r="M28" s="23">
        <f t="shared" si="23"/>
        <v>0</v>
      </c>
      <c r="N28" s="23">
        <f t="shared" ca="1" si="23"/>
        <v>970193.07000000007</v>
      </c>
      <c r="O28" s="22">
        <f t="shared" ref="O28:O30" ca="1" si="24">IF(L28&gt;0,N28*100/L28,0)</f>
        <v>31.661722655426491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3064246</v>
      </c>
      <c r="M30" s="30">
        <f t="shared" si="27"/>
        <v>0</v>
      </c>
      <c r="N30" s="30">
        <f t="shared" ca="1" si="27"/>
        <v>970193.07000000007</v>
      </c>
      <c r="O30" s="29">
        <f t="shared" ca="1" si="24"/>
        <v>31.661722655426491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3064246</v>
      </c>
      <c r="M32" s="38">
        <f t="shared" si="30"/>
        <v>0</v>
      </c>
      <c r="N32" s="38">
        <f t="shared" ca="1" si="30"/>
        <v>970193.07000000007</v>
      </c>
      <c r="O32" s="38">
        <f t="shared" ca="1" si="29"/>
        <v>31.661722655426491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3064246</v>
      </c>
      <c r="M34" s="38">
        <f t="shared" si="32"/>
        <v>0</v>
      </c>
      <c r="N34" s="38">
        <f t="shared" ca="1" si="32"/>
        <v>970193.07000000007</v>
      </c>
      <c r="O34" s="38">
        <f t="shared" ca="1" si="29"/>
        <v>31.661722655426491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3466205</v>
      </c>
      <c r="M37" s="54">
        <f t="shared" ca="1" si="33"/>
        <v>2742145</v>
      </c>
      <c r="N37" s="54">
        <f t="shared" ca="1" si="33"/>
        <v>1971748.3900000001</v>
      </c>
      <c r="O37" s="55">
        <f t="shared" ca="1" si="29"/>
        <v>56.884932945397054</v>
      </c>
      <c r="P37" s="55">
        <f t="shared" ca="1" si="25"/>
        <v>71.905329222196485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629900</v>
      </c>
      <c r="N41" s="78">
        <f t="shared" ca="1" si="34"/>
        <v>561494.97</v>
      </c>
      <c r="O41" s="77">
        <f t="shared" ref="O41:O43" ca="1" si="35">IF(L41&gt;0,N41*100/L41,0)</f>
        <v>69.175184181347788</v>
      </c>
      <c r="P41" s="77">
        <f t="shared" ref="P41:P43" ca="1" si="36">IF(M41&gt;0,N41*100/M41,0)</f>
        <v>89.140334973805366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629900</v>
      </c>
      <c r="N43" s="78">
        <f t="shared" ca="1" si="38"/>
        <v>561494.97</v>
      </c>
      <c r="O43" s="77">
        <f t="shared" ca="1" si="35"/>
        <v>69.175184181347788</v>
      </c>
      <c r="P43" s="77">
        <f t="shared" ca="1" si="36"/>
        <v>89.140334973805366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727100</v>
      </c>
      <c r="M45" s="622">
        <f ca="1">IFERROR(__xludf.DUMMYFUNCTION("IMPORTRANGE(""https://docs.google.com/spreadsheets/d/1Yj_ptqi66GCucihVvJfMjLAmec39IyEx_6qawtMGysU/edit?usp=sharing"",""สบก!Q49"")"),545300)</f>
        <v>545300</v>
      </c>
      <c r="N45" s="622">
        <f ca="1">IFERROR(__xludf.DUMMYFUNCTION("IMPORTRANGE(""https://docs.google.com/spreadsheets/d/1Yj_ptqi66GCucihVvJfMjLAmec39IyEx_6qawtMGysU/edit?usp=sharing"",""สบก!R49"")"),476894.97)</f>
        <v>476894.97</v>
      </c>
      <c r="O45" s="623">
        <f ca="1">IF(L45&gt;0,N45*100/L45,0)</f>
        <v>65.588635675973038</v>
      </c>
      <c r="P45" s="623">
        <f ca="1">IF(M45&gt;0,N45*100/M45,0)</f>
        <v>87.455523565010083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IFERROR(__xludf.DUMMYFUNCTION("IMPORTRANGE(""https://docs.google.com/spreadsheets/d/1Yj_ptqi66GCucihVvJfMjLAmec39IyEx_6qawtMGysU/edit?usp=sharing"",""สบก!M49"")"),727100)</f>
        <v>727100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IFERROR(__xludf.DUMMYFUNCTION("IMPORTRANGE(""https://docs.google.com/spreadsheets/d/1Yj_ptqi66GCucihVvJfMjLAmec39IyEx_6qawtMGysU/edit?usp=sharing"",""สบก!N49"")"),0)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IFERROR(__xludf.DUMMYFUNCTION("IMPORTRANGE(""https://docs.google.com/spreadsheets/d/1Yj_ptqi66GCucihVvJfMjLAmec39IyEx_6qawtMGysU/edit?usp=sharing"",""สบก!O49"")"),84600)</f>
        <v>84600</v>
      </c>
      <c r="M49" s="625">
        <f ca="1">L49</f>
        <v>84600</v>
      </c>
      <c r="N49" s="622">
        <f ca="1">IFERROR(__xludf.DUMMYFUNCTION("IMPORTRANGE(""https://docs.google.com/spreadsheets/d/1Yj_ptqi66GCucihVvJfMjLAmec39IyEx_6qawtMGysU/edit?usp=sharing"",""สบก!S49"")"),84600)</f>
        <v>84600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787200</v>
      </c>
      <c r="M53" s="121">
        <f t="shared" ca="1" si="39"/>
        <v>610650</v>
      </c>
      <c r="N53" s="121">
        <f t="shared" ca="1" si="39"/>
        <v>388093.81</v>
      </c>
      <c r="O53" s="120">
        <f t="shared" ref="O53:O55" ca="1" si="40">IF(L53&gt;0,N53*100/L53,0)</f>
        <v>49.300534806910569</v>
      </c>
      <c r="P53" s="120">
        <f t="shared" ref="P53:P55" ca="1" si="41">IF(M53&gt;0,N53*100/M53,0)</f>
        <v>63.554214361745679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787200</v>
      </c>
      <c r="M55" s="121">
        <f t="shared" ca="1" si="43"/>
        <v>610650</v>
      </c>
      <c r="N55" s="121">
        <f t="shared" ca="1" si="43"/>
        <v>388093.81</v>
      </c>
      <c r="O55" s="120">
        <f t="shared" ca="1" si="40"/>
        <v>49.300534806910569</v>
      </c>
      <c r="P55" s="120">
        <f t="shared" ca="1" si="41"/>
        <v>63.554214361745679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787200</v>
      </c>
      <c r="M57" s="622">
        <f ca="1">IFERROR(__xludf.DUMMYFUNCTION("IMPORTRANGE(""https://docs.google.com/spreadsheets/d/1Yj_ptqi66GCucihVvJfMjLAmec39IyEx_6qawtMGysU/edit?usp=sharing"",""สบก!Z49"")"),610650)</f>
        <v>610650</v>
      </c>
      <c r="N57" s="622">
        <f ca="1">IFERROR(__xludf.DUMMYFUNCTION("IMPORTRANGE(""https://docs.google.com/spreadsheets/d/1Yj_ptqi66GCucihVvJfMjLAmec39IyEx_6qawtMGysU/edit?usp=sharing"",""สบก!AA49"")"),388093.81)</f>
        <v>388093.81</v>
      </c>
      <c r="O57" s="623">
        <f ca="1">IF(L57&gt;0,N57*100/L57,0)</f>
        <v>49.300534806910569</v>
      </c>
      <c r="P57" s="623">
        <f ca="1">IF(M57&gt;0,N57*100/M57,0)</f>
        <v>63.554214361745679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IFERROR(__xludf.DUMMYFUNCTION("IMPORTRANGE(""https://docs.google.com/spreadsheets/d/1Yj_ptqi66GCucihVvJfMjLAmec39IyEx_6qawtMGysU/edit?usp=sharing"",""สบก!V49"")"),787200)</f>
        <v>787200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IFERROR(__xludf.DUMMYFUNCTION("IMPORTRANGE(""https://docs.google.com/spreadsheets/d/1Yj_ptqi66GCucihVvJfMjLAmec39IyEx_6qawtMGysU/edit?usp=sharing"",""สบก!W49"")"),0)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IFERROR(__xludf.DUMMYFUNCTION("IMPORTRANGE(""https://docs.google.com/spreadsheets/d/1Yj_ptqi66GCucihVvJfMjLAmec39IyEx_6qawtMGysU/edit?usp=sharing"",""สบก!X49"")"),0)</f>
        <v>0</v>
      </c>
      <c r="M61" s="625"/>
      <c r="N61" s="622">
        <f ca="1">IFERROR(__xludf.DUMMYFUNCTION("IMPORTRANGE(""https://docs.google.com/spreadsheets/d/1Yj_ptqi66GCucihVvJfMjLAmec39IyEx_6qawtMGysU/edit?usp=sharing"",""สบก!AB49"")"),0)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6">
        <f ca="1">IFERROR(__xludf.DUMMYFUNCTION("IMPORTRANGE(""https://docs.google.com/spreadsheets/d/1Yj_ptqi66GCucihVvJfMjLAmec39IyEx_6qawtMGysU/edit?usp=sharing"",""สบก!AI49"")"),0)</f>
        <v>0</v>
      </c>
      <c r="N70" s="627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IFERROR(__xludf.DUMMYFUNCTION("IMPORTRANGE(""https://docs.google.com/spreadsheets/d/1Yj_ptqi66GCucihVvJfMjLAmec39IyEx_6qawtMGysU/edit?usp=sharing"",""สบก!AG49"")"),0)</f>
        <v>0</v>
      </c>
      <c r="M74" s="625"/>
      <c r="N74" s="622">
        <f ca="1">IFERROR(__xludf.DUMMYFUNCTION("IMPORTRANGE(""https://docs.google.com/spreadsheets/d/1Yj_ptqi66GCucihVvJfMjLAmec39IyEx_6qawtMGysU/edit?usp=sharing"",""สบก!AK49"")"),0)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138278</v>
      </c>
      <c r="O94" s="151">
        <f t="shared" ref="O94:O96" ca="1" si="53">IF(L94&gt;0,N94*100/L94,0)</f>
        <v>64.465268065268063</v>
      </c>
      <c r="P94" s="151">
        <f t="shared" ref="P94:P96" ca="1" si="54">IF(M94&gt;0,N94*100/M94,0)</f>
        <v>71.11053971355841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138278</v>
      </c>
      <c r="O96" s="156">
        <f t="shared" ca="1" si="53"/>
        <v>64.465268065268063</v>
      </c>
      <c r="P96" s="156">
        <f t="shared" ca="1" si="54"/>
        <v>71.11053971355841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IFERROR(__xludf.DUMMYFUNCTION("IMPORTRANGE(""https://docs.google.com/spreadsheets/d/1Yj_ptqi66GCucihVvJfMjLAmec39IyEx_6qawtMGysU/edit?usp=sharing"",""สบก!AR49"")"),102055)</f>
        <v>102055</v>
      </c>
      <c r="N98" s="627">
        <f ca="1">IFERROR(__xludf.DUMMYFUNCTION("IMPORTRANGE(""https://docs.google.com/spreadsheets/d/1Yj_ptqi66GCucihVvJfMjLAmec39IyEx_6qawtMGysU/edit?usp=sharing"",""สบก!AS49"")"),45878)</f>
        <v>45878</v>
      </c>
      <c r="O98" s="169">
        <f ca="1">IF(L98&gt;0,N98*100/L98,0)</f>
        <v>37.574119574119571</v>
      </c>
      <c r="P98" s="169">
        <f ca="1">IF(M98&gt;0,N98*100/M98,0)</f>
        <v>44.954191367399929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IFERROR(__xludf.DUMMYFUNCTION("IMPORTRANGE(""https://docs.google.com/spreadsheets/d/1Yj_ptqi66GCucihVvJfMjLAmec39IyEx_6qawtMGysU/edit?usp=sharing"",""สบก!AO49"")"),122100)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IFERROR(__xludf.DUMMYFUNCTION("IMPORTRANGE(""https://docs.google.com/spreadsheets/d/1Yj_ptqi66GCucihVvJfMjLAmec39IyEx_6qawtMGysU/edit?usp=sharing"",""สบก!AP49"")"),92400)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IFERROR(__xludf.DUMMYFUNCTION("IMPORTRANGE(""https://docs.google.com/spreadsheets/d/1Yj_ptqi66GCucihVvJfMjLAmec39IyEx_6qawtMGysU/edit?usp=sharing"",""สบก!AT49"")"),92400)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IFERROR(__xludf.DUMMYFUNCTION("IMPORTRANGE(""https://docs.google.com/spreadsheets/d/1XL5vhW3sbDhbH9Cz0tuDiY8C3ctxq1tqvaCgkFb8cCA/edit?usp=sharing"",""เลย!J50"")"),0)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IFERROR(__xludf.DUMMYFUNCTION("IMPORTRANGE(""https://docs.google.com/spreadsheets/d/1Yj_ptqi66GCucihVvJfMjLAmec39IyEx_6qawtMGysU/edit?usp=sharing"",""สบก!BA49"")"),0)</f>
        <v>0</v>
      </c>
      <c r="N122" s="627">
        <f ca="1">IFERROR(__xludf.DUMMYFUNCTION("IMPORTRANGE(""https://docs.google.com/spreadsheets/d/1Yj_ptqi66GCucihVvJfMjLAmec39IyEx_6qawtMGysU/edit?usp=sharing"",""สบก!BB49"")"),0)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IFERROR(__xludf.DUMMYFUNCTION("IMPORTRANGE(""https://docs.google.com/spreadsheets/d/1Yj_ptqi66GCucihVvJfMjLAmec39IyEx_6qawtMGysU/edit?usp=sharing"",""สบก!AX49"")"),0)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IFERROR(__xludf.DUMMYFUNCTION("IMPORTRANGE(""https://docs.google.com/spreadsheets/d/1Yj_ptqi66GCucihVvJfMjLAmec39IyEx_6qawtMGysU/edit?usp=sharing"",""สบก!AY49"")"),0)</f>
        <v>0</v>
      </c>
      <c r="M126" s="625"/>
      <c r="N126" s="622">
        <f ca="1">IFERROR(__xludf.DUMMYFUNCTION("IMPORTRANGE(""https://docs.google.com/spreadsheets/d/1Yj_ptqi66GCucihVvJfMjLAmec39IyEx_6qawtMGysU/edit?usp=sharing"",""สบก!BC49"")"),0)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283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IFERROR(__xludf.DUMMYFUNCTION("IMPORTRANGE(""https://docs.google.com/spreadsheets/d/1XL5vhW3sbDhbH9Cz0tuDiY8C3ctxq1tqvaCgkFb8cCA/edit?usp=sharing"",""เลย!J65"")"),0)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IFERROR(__xludf.DUMMYFUNCTION("IMPORTRANGE(""https://docs.google.com/spreadsheets/d/1XL5vhW3sbDhbH9Cz0tuDiY8C3ctxq1tqvaCgkFb8cCA/edit?usp=sharing"",""เลย!I68"")"),15)</f>
        <v>15</v>
      </c>
      <c r="J138" s="267">
        <f ca="1">IFERROR(__xludf.DUMMYFUNCTION("IMPORTRANGE(""https://docs.google.com/spreadsheets/d/1XL5vhW3sbDhbH9Cz0tuDiY8C3ctxq1tqvaCgkFb8cCA/edit?usp=sharing"",""เลย!J68"")"),15)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581800</v>
      </c>
      <c r="M140" s="152">
        <f t="shared" ca="1" si="64"/>
        <v>431025</v>
      </c>
      <c r="N140" s="152">
        <f t="shared" ca="1" si="64"/>
        <v>297742</v>
      </c>
      <c r="O140" s="151">
        <f t="shared" ref="O140:O142" ca="1" si="65">IF(L140&gt;0,N140*100/L140,0)</f>
        <v>51.176005500171883</v>
      </c>
      <c r="P140" s="151">
        <f t="shared" ref="P140:P142" ca="1" si="66">IF(M140&gt;0,N140*100/M140,0)</f>
        <v>69.077663708601591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581800</v>
      </c>
      <c r="M142" s="157">
        <f t="shared" ca="1" si="68"/>
        <v>431025</v>
      </c>
      <c r="N142" s="157">
        <f t="shared" ca="1" si="68"/>
        <v>297742</v>
      </c>
      <c r="O142" s="156">
        <f t="shared" ca="1" si="65"/>
        <v>51.176005500171883</v>
      </c>
      <c r="P142" s="156">
        <f t="shared" ca="1" si="66"/>
        <v>69.077663708601591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581800</v>
      </c>
      <c r="M144" s="626">
        <f ca="1">IFERROR(__xludf.DUMMYFUNCTION("IMPORTRANGE(""https://docs.google.com/spreadsheets/d/1Yj_ptqi66GCucihVvJfMjLAmec39IyEx_6qawtMGysU/edit?usp=sharing"",""สบก!BJ49"")"),431025)</f>
        <v>431025</v>
      </c>
      <c r="N144" s="627">
        <f ca="1">IFERROR(__xludf.DUMMYFUNCTION("IMPORTRANGE(""https://docs.google.com/spreadsheets/d/1Yj_ptqi66GCucihVvJfMjLAmec39IyEx_6qawtMGysU/edit?usp=sharing"",""สบก!BK49"")"),297742)</f>
        <v>297742</v>
      </c>
      <c r="O144" s="169">
        <f ca="1">IF(L144&gt;0,N144*100/L144,0)</f>
        <v>51.176005500171883</v>
      </c>
      <c r="P144" s="169">
        <f ca="1">IF(M144&gt;0,N144*100/M144,0)</f>
        <v>69.077663708601591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IFERROR(__xludf.DUMMYFUNCTION("IMPORTRANGE(""https://docs.google.com/spreadsheets/d/1Yj_ptqi66GCucihVvJfMjLAmec39IyEx_6qawtMGysU/edit?usp=sharing"",""สบก!BG49"")"),122700)</f>
        <v>122700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IFERROR(__xludf.DUMMYFUNCTION("IMPORTRANGE(""https://docs.google.com/spreadsheets/d/1Yj_ptqi66GCucihVvJfMjLAmec39IyEx_6qawtMGysU/edit?usp=sharing"",""สบก!BH49"")"),0)</f>
        <v>0</v>
      </c>
      <c r="M148" s="625"/>
      <c r="N148" s="622">
        <f ca="1">IFERROR(__xludf.DUMMYFUNCTION("IMPORTRANGE(""https://docs.google.com/spreadsheets/d/1Yj_ptqi66GCucihVvJfMjLAmec39IyEx_6qawtMGysU/edit?usp=sharing"",""สบก!BL49"")"),0)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IFERROR(__xludf.DUMMYFUNCTION("IMPORTRANGE(""https://docs.google.com/spreadsheets/d/1XL5vhW3sbDhbH9Cz0tuDiY8C3ctxq1tqvaCgkFb8cCA/edit?usp=sharing"",""เลย!I74"")"),4)</f>
        <v>4</v>
      </c>
      <c r="J149" s="275">
        <f ca="1">IFERROR(__xludf.DUMMYFUNCTION("IMPORTRANGE(""https://docs.google.com/spreadsheets/d/1XL5vhW3sbDhbH9Cz0tuDiY8C3ctxq1tqvaCgkFb8cCA/edit?usp=sharing"",""เลย!J74"")"),3)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IFERROR(__xludf.DUMMYFUNCTION("IMPORTRANGE(""https://docs.google.com/spreadsheets/d/1XL5vhW3sbDhbH9Cz0tuDiY8C3ctxq1tqvaCgkFb8cCA/edit?usp=sharing"",""เลย!J84"")"),107)</f>
        <v>107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IFERROR(__xludf.DUMMYFUNCTION("IMPORTRANGE(""https://docs.google.com/spreadsheets/d/1XL5vhW3sbDhbH9Cz0tuDiY8C3ctxq1tqvaCgkFb8cCA/edit?usp=sharing"",""เลย!J85"")"),107)</f>
        <v>107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IFERROR(__xludf.DUMMYFUNCTION("IMPORTRANGE(""https://docs.google.com/spreadsheets/d/1XL5vhW3sbDhbH9Cz0tuDiY8C3ctxq1tqvaCgkFb8cCA/edit?usp=sharing"",""เลย!J88"")"),0)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IFERROR(__xludf.DUMMYFUNCTION("IMPORTRANGE(""https://docs.google.com/spreadsheets/d/1XL5vhW3sbDhbH9Cz0tuDiY8C3ctxq1tqvaCgkFb8cCA/edit?usp=sharing"",""เลย!I89"")"),2)</f>
        <v>2</v>
      </c>
      <c r="J164" s="284">
        <f ca="1">IFERROR(__xludf.DUMMYFUNCTION("IMPORTRANGE(""https://docs.google.com/spreadsheets/d/1XL5vhW3sbDhbH9Cz0tuDiY8C3ctxq1tqvaCgkFb8cCA/edit?usp=sharing"",""เลย!J89"")"),2)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IFERROR(__xludf.DUMMYFUNCTION("IMPORTRANGE(""https://docs.google.com/spreadsheets/d/1XL5vhW3sbDhbH9Cz0tuDiY8C3ctxq1tqvaCgkFb8cCA/edit?usp=sharing"",""เลย!J100"")"),0)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IFERROR(__xludf.DUMMYFUNCTION("IMPORTRANGE(""https://docs.google.com/spreadsheets/d/1XL5vhW3sbDhbH9Cz0tuDiY8C3ctxq1tqvaCgkFb8cCA/edit?usp=sharing"",""เลย!I101"")"),2)</f>
        <v>2</v>
      </c>
      <c r="J176" s="284">
        <f ca="1">IFERROR(__xludf.DUMMYFUNCTION("IMPORTRANGE(""https://docs.google.com/spreadsheets/d/1XL5vhW3sbDhbH9Cz0tuDiY8C3ctxq1tqvaCgkFb8cCA/edit?usp=sharing"",""เลย!J101"")"),2)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IFERROR(__xludf.DUMMYFUNCTION("IMPORTRANGE(""https://docs.google.com/spreadsheets/d/1XL5vhW3sbDhbH9Cz0tuDiY8C3ctxq1tqvaCgkFb8cCA/edit?usp=sharing"",""เลย!J113"")"),0)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IFERROR(__xludf.DUMMYFUNCTION("IMPORTRANGE(""https://docs.google.com/spreadsheets/d/1XL5vhW3sbDhbH9Cz0tuDiY8C3ctxq1tqvaCgkFb8cCA/edit?usp=sharing"",""เลย!I114"")"),128000)</f>
        <v>128000</v>
      </c>
      <c r="J189" s="284">
        <f ca="1">IFERROR(__xludf.DUMMYFUNCTION("IMPORTRANGE(""https://docs.google.com/spreadsheets/d/1XL5vhW3sbDhbH9Cz0tuDiY8C3ctxq1tqvaCgkFb8cCA/edit?usp=sharing"",""เลย!J114"")"),0)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IFERROR(__xludf.DUMMYFUNCTION("IMPORTRANGE(""https://docs.google.com/spreadsheets/d/1XL5vhW3sbDhbH9Cz0tuDiY8C3ctxq1tqvaCgkFb8cCA/edit?usp=sharing"",""เลย!J128"")"),0)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IFERROR(__xludf.DUMMYFUNCTION("IMPORTRANGE(""https://docs.google.com/spreadsheets/d/1XL5vhW3sbDhbH9Cz0tuDiY8C3ctxq1tqvaCgkFb8cCA/edit?usp=sharing"",""เลย!I129"")"),0)</f>
        <v>0</v>
      </c>
      <c r="J204" s="284">
        <f ca="1">IFERROR(__xludf.DUMMYFUNCTION("IMPORTRANGE(""https://docs.google.com/spreadsheets/d/1XL5vhW3sbDhbH9Cz0tuDiY8C3ctxq1tqvaCgkFb8cCA/edit?usp=sharing"",""เลย!J129"")"),0)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IFERROR(__xludf.DUMMYFUNCTION("IMPORTRANGE(""https://docs.google.com/spreadsheets/d/1XL5vhW3sbDhbH9Cz0tuDiY8C3ctxq1tqvaCgkFb8cCA/edit?usp=sharing"",""เลย!J143"")"),0)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IFERROR(__xludf.DUMMYFUNCTION("IMPORTRANGE(""https://docs.google.com/spreadsheets/d/1XL5vhW3sbDhbH9Cz0tuDiY8C3ctxq1tqvaCgkFb8cCA/edit?usp=sharing"",""เลย!I144"")"),15)</f>
        <v>15</v>
      </c>
      <c r="J219" s="267">
        <f ca="1">IFERROR(__xludf.DUMMYFUNCTION("IMPORTRANGE(""https://docs.google.com/spreadsheets/d/1XL5vhW3sbDhbH9Cz0tuDiY8C3ctxq1tqvaCgkFb8cCA/edit?usp=sharing"",""เลย!J144"")"),15)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20805</v>
      </c>
      <c r="O220" s="151">
        <f t="shared" ref="O220:O222" ca="1" si="73">IF(L220&gt;0,N220*100/L220,0)</f>
        <v>98.485207100591722</v>
      </c>
      <c r="P220" s="151">
        <f t="shared" ref="P220:P222" ca="1" si="74">IF(M220&gt;0,N220*100/M220,0)</f>
        <v>98.485207100591722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20805</v>
      </c>
      <c r="O222" s="156">
        <f t="shared" ca="1" si="73"/>
        <v>98.485207100591722</v>
      </c>
      <c r="P222" s="156">
        <f t="shared" ca="1" si="74"/>
        <v>98.485207100591722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IFERROR(__xludf.DUMMYFUNCTION("IMPORTRANGE(""https://docs.google.com/spreadsheets/d/1Yj_ptqi66GCucihVvJfMjLAmec39IyEx_6qawtMGysU/edit?usp=sharing"",""สบก!BS49"")"),21125)</f>
        <v>21125</v>
      </c>
      <c r="N224" s="627">
        <f ca="1">IFERROR(__xludf.DUMMYFUNCTION("IMPORTRANGE(""https://docs.google.com/spreadsheets/d/1Yj_ptqi66GCucihVvJfMjLAmec39IyEx_6qawtMGysU/edit?usp=sharing"",""สบก!BT49"")"),20805)</f>
        <v>20805</v>
      </c>
      <c r="O224" s="169">
        <f ca="1">IF(L224&gt;0,N224*100/L224,0)</f>
        <v>98.485207100591722</v>
      </c>
      <c r="P224" s="169">
        <f ca="1">IF(M224&gt;0,N224*100/M224,0)</f>
        <v>98.485207100591722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IFERROR(__xludf.DUMMYFUNCTION("IMPORTRANGE(""https://docs.google.com/spreadsheets/d/1Yj_ptqi66GCucihVvJfMjLAmec39IyEx_6qawtMGysU/edit?usp=sharing"",""สบก!BQ49"")"),0)</f>
        <v>0</v>
      </c>
      <c r="M228" s="625"/>
      <c r="N228" s="622">
        <f ca="1">IFERROR(__xludf.DUMMYFUNCTION("IMPORTRANGE(""https://docs.google.com/spreadsheets/d/1Yj_ptqi66GCucihVvJfMjLAmec39IyEx_6qawtMGysU/edit?usp=sharing"",""สบก!BU49"")"),0)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IFERROR(__xludf.DUMMYFUNCTION("IMPORTRANGE(""https://docs.google.com/spreadsheets/d/1XL5vhW3sbDhbH9Cz0tuDiY8C3ctxq1tqvaCgkFb8cCA/edit?usp=sharing"",""เลย!I149"")"),15)</f>
        <v>15</v>
      </c>
      <c r="J229" s="267">
        <f ca="1">IFERROR(__xludf.DUMMYFUNCTION("IMPORTRANGE(""https://docs.google.com/spreadsheets/d/1XL5vhW3sbDhbH9Cz0tuDiY8C3ctxq1tqvaCgkFb8cCA/edit?usp=sharing"",""เลย!J149"")"),15)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IFERROR(__xludf.DUMMYFUNCTION("IMPORTRANGE(""https://docs.google.com/spreadsheets/d/1XL5vhW3sbDhbH9Cz0tuDiY8C3ctxq1tqvaCgkFb8cCA/edit?usp=sharing"",""เลย!J157"")"),0)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IFERROR(__xludf.DUMMYFUNCTION("IMPORTRANGE(""https://docs.google.com/spreadsheets/d/1XL5vhW3sbDhbH9Cz0tuDiY8C3ctxq1tqvaCgkFb8cCA/edit?usp=sharing"",""เลย!I158"")"),0)</f>
        <v>0</v>
      </c>
      <c r="J238" s="267">
        <f ca="1">IFERROR(__xludf.DUMMYFUNCTION("IMPORTRANGE(""https://docs.google.com/spreadsheets/d/1XL5vhW3sbDhbH9Cz0tuDiY8C3ctxq1tqvaCgkFb8cCA/edit?usp=sharing"",""เลย!J158"")"),0)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IFERROR(__xludf.DUMMYFUNCTION("IMPORTRANGE(""https://docs.google.com/spreadsheets/d/1XL5vhW3sbDhbH9Cz0tuDiY8C3ctxq1tqvaCgkFb8cCA/edit?usp=sharing"",""เลย!J166"")"),0)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IFERROR(__xludf.DUMMYFUNCTION("IMPORTRANGE(""https://docs.google.com/spreadsheets/d/1XL5vhW3sbDhbH9Cz0tuDiY8C3ctxq1tqvaCgkFb8cCA/edit?usp=sharing"",""เลย!I169"")"),0)</f>
        <v>0</v>
      </c>
      <c r="J249" s="316">
        <f ca="1">IFERROR(__xludf.DUMMYFUNCTION("IMPORTRANGE(""https://docs.google.com/spreadsheets/d/1XL5vhW3sbDhbH9Cz0tuDiY8C3ctxq1tqvaCgkFb8cCA/edit?usp=sharing"",""เลย!J169"")"),0)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IFERROR(__xludf.DUMMYFUNCTION("IMPORTRANGE(""https://docs.google.com/spreadsheets/d/1Yj_ptqi66GCucihVvJfMjLAmec39IyEx_6qawtMGysU/edit?usp=sharing"",""สบก!CB49"")"),0)</f>
        <v>0</v>
      </c>
      <c r="N254" s="627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IFERROR(__xludf.DUMMYFUNCTION("IMPORTRANGE(""https://docs.google.com/spreadsheets/d/1Yj_ptqi66GCucihVvJfMjLAmec39IyEx_6qawtMGysU/edit?usp=sharing"",""สบก!BZ49"")"),0)</f>
        <v>0</v>
      </c>
      <c r="M258" s="625"/>
      <c r="N258" s="622">
        <f ca="1">IFERROR(__xludf.DUMMYFUNCTION("IMPORTRANGE(""https://docs.google.com/spreadsheets/d/1Yj_ptqi66GCucihVvJfMjLAmec39IyEx_6qawtMGysU/edit?usp=sharing"",""สบก!CD49"")"),0)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IFERROR(__xludf.DUMMYFUNCTION("IMPORTRANGE(""https://docs.google.com/spreadsheets/d/1XL5vhW3sbDhbH9Cz0tuDiY8C3ctxq1tqvaCgkFb8cCA/edit?usp=sharing"",""เลย!J184"")"),0)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IFERROR(__xludf.DUMMYFUNCTION("IMPORTRANGE(""https://docs.google.com/spreadsheets/d/1XL5vhW3sbDhbH9Cz0tuDiY8C3ctxq1tqvaCgkFb8cCA/edit?usp=sharing"",""เลย!I185"")"),15)</f>
        <v>15</v>
      </c>
      <c r="J270" s="316">
        <f ca="1">IFERROR(__xludf.DUMMYFUNCTION("IMPORTRANGE(""https://docs.google.com/spreadsheets/d/1XL5vhW3sbDhbH9Cz0tuDiY8C3ctxq1tqvaCgkFb8cCA/edit?usp=sharing"",""เลย!J185"")"),15)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26865</v>
      </c>
      <c r="O271" s="151">
        <f t="shared" ref="O271:O273" ca="1" si="84">IF(L271&gt;0,N271*100/L271,0)</f>
        <v>48.668478260869563</v>
      </c>
      <c r="P271" s="151">
        <f t="shared" ref="P271:P273" ca="1" si="85">IF(M271&gt;0,N271*100/M271,0)</f>
        <v>83.302325581395351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26865</v>
      </c>
      <c r="O273" s="156">
        <f t="shared" ca="1" si="84"/>
        <v>48.668478260869563</v>
      </c>
      <c r="P273" s="156">
        <f t="shared" ca="1" si="85"/>
        <v>83.302325581395351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IFERROR(__xludf.DUMMYFUNCTION("IMPORTRANGE(""https://docs.google.com/spreadsheets/d/1Yj_ptqi66GCucihVvJfMjLAmec39IyEx_6qawtMGysU/edit?usp=sharing"",""สบก!CK49"")"),32250)</f>
        <v>32250</v>
      </c>
      <c r="N275" s="627">
        <f ca="1">IFERROR(__xludf.DUMMYFUNCTION("IMPORTRANGE(""https://docs.google.com/spreadsheets/d/1Yj_ptqi66GCucihVvJfMjLAmec39IyEx_6qawtMGysU/edit?usp=sharing"",""สบก!CL49"")"),26865)</f>
        <v>26865</v>
      </c>
      <c r="O275" s="169">
        <f ca="1">IF(L275&gt;0,N275*100/L275,0)</f>
        <v>48.668478260869563</v>
      </c>
      <c r="P275" s="169">
        <f ca="1">IF(M275&gt;0,N275*100/M275,0)</f>
        <v>83.302325581395351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IFERROR(__xludf.DUMMYFUNCTION("IMPORTRANGE(""https://docs.google.com/spreadsheets/d/1Yj_ptqi66GCucihVvJfMjLAmec39IyEx_6qawtMGysU/edit?usp=sharing"",""สบก!CI49"")"),0)</f>
        <v>0</v>
      </c>
      <c r="M279" s="625"/>
      <c r="N279" s="622">
        <f ca="1">IFERROR(__xludf.DUMMYFUNCTION("IMPORTRANGE(""https://docs.google.com/spreadsheets/d/1Yj_ptqi66GCucihVvJfMjLAmec39IyEx_6qawtMGysU/edit?usp=sharing"",""สบก!CM49"")"),0)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IFERROR(__xludf.DUMMYFUNCTION("IMPORTRANGE(""https://docs.google.com/spreadsheets/d/1XL5vhW3sbDhbH9Cz0tuDiY8C3ctxq1tqvaCgkFb8cCA/edit?usp=sharing"",""เลย!J197"")"),0)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IFERROR(__xludf.DUMMYFUNCTION("IMPORTRANGE(""https://docs.google.com/spreadsheets/d/1XL5vhW3sbDhbH9Cz0tuDiY8C3ctxq1tqvaCgkFb8cCA/edit?usp=sharing"",""เลย!I199"")"),0)</f>
        <v>0</v>
      </c>
      <c r="J289" s="316">
        <f ca="1">IFERROR(__xludf.DUMMYFUNCTION("IMPORTRANGE(""https://docs.google.com/spreadsheets/d/1XL5vhW3sbDhbH9Cz0tuDiY8C3ctxq1tqvaCgkFb8cCA/edit?usp=sharing"",""เลย!J199"")"),0)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IFERROR(__xludf.DUMMYFUNCTION("IMPORTRANGE(""https://docs.google.com/spreadsheets/d/1Yj_ptqi66GCucihVvJfMjLAmec39IyEx_6qawtMGysU/edit?usp=sharing"",""สบก!CT49"")"),0)</f>
        <v>0</v>
      </c>
      <c r="N294" s="627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IFERROR(__xludf.DUMMYFUNCTION("IMPORTRANGE(""https://docs.google.com/spreadsheets/d/1Yj_ptqi66GCucihVvJfMjLAmec39IyEx_6qawtMGysU/edit?usp=sharing"",""สบก!CR49"")"),0)</f>
        <v>0</v>
      </c>
      <c r="M298" s="625"/>
      <c r="N298" s="622">
        <f ca="1">IFERROR(__xludf.DUMMYFUNCTION("IMPORTRANGE(""https://docs.google.com/spreadsheets/d/1Yj_ptqi66GCucihVvJfMjLAmec39IyEx_6qawtMGysU/edit?usp=sharing"",""สบก!CV49"")"),0)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IFERROR(__xludf.DUMMYFUNCTION("IMPORTRANGE(""https://docs.google.com/spreadsheets/d/1XL5vhW3sbDhbH9Cz0tuDiY8C3ctxq1tqvaCgkFb8cCA/edit?usp=sharing"",""เลย!J213"")"),0)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IFERROR(__xludf.DUMMYFUNCTION("IMPORTRANGE(""https://docs.google.com/spreadsheets/d/1XL5vhW3sbDhbH9Cz0tuDiY8C3ctxq1tqvaCgkFb8cCA/edit?usp=sharing"",""เลย!I214"")"),0)</f>
        <v>0</v>
      </c>
      <c r="J309" s="333">
        <f ca="1">IFERROR(__xludf.DUMMYFUNCTION("IMPORTRANGE(""https://docs.google.com/spreadsheets/d/1XL5vhW3sbDhbH9Cz0tuDiY8C3ctxq1tqvaCgkFb8cCA/edit?usp=sharing"",""เลย!J214"")"),0)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IFERROR(__xludf.DUMMYFUNCTION("IMPORTRANGE(""https://docs.google.com/spreadsheets/d/1Yj_ptqi66GCucihVvJfMjLAmec39IyEx_6qawtMGysU/edit?usp=sharing"",""สบก!DC49"")"),0)</f>
        <v>0</v>
      </c>
      <c r="N314" s="627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IFERROR(__xludf.DUMMYFUNCTION("IMPORTRANGE(""https://docs.google.com/spreadsheets/d/1Yj_ptqi66GCucihVvJfMjLAmec39IyEx_6qawtMGysU/edit?usp=sharing"",""สบก!DA49"")"),0)</f>
        <v>0</v>
      </c>
      <c r="M318" s="625"/>
      <c r="N318" s="622">
        <f ca="1">IFERROR(__xludf.DUMMYFUNCTION("IMPORTRANGE(""https://docs.google.com/spreadsheets/d/1Yj_ptqi66GCucihVvJfMjLAmec39IyEx_6qawtMGysU/edit?usp=sharing"",""สบก!DE49"")"),0)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IFERROR(__xludf.DUMMYFUNCTION("IMPORTRANGE(""https://docs.google.com/spreadsheets/d/1XL5vhW3sbDhbH9Cz0tuDiY8C3ctxq1tqvaCgkFb8cCA/edit?usp=sharing"",""เลย!J226"")"),0)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IFERROR(__xludf.DUMMYFUNCTION("IMPORTRANGE(""https://docs.google.com/spreadsheets/d/1XL5vhW3sbDhbH9Cz0tuDiY8C3ctxq1tqvaCgkFb8cCA/edit?usp=sharing"",""เลย!I228"")"),710)</f>
        <v>710</v>
      </c>
      <c r="J328" s="339">
        <f ca="1">IFERROR(__xludf.DUMMYFUNCTION("IMPORTRANGE(""https://docs.google.com/spreadsheets/d/1XL5vhW3sbDhbH9Cz0tuDiY8C3ctxq1tqvaCgkFb8cCA/edit?usp=sharing"",""เลย!J228"")"),588)</f>
        <v>588</v>
      </c>
      <c r="K328" s="317">
        <f ca="1">IF(I328&gt;0,J328*100/I328,0)</f>
        <v>82.816901408450704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994680</v>
      </c>
      <c r="M329" s="152">
        <f t="shared" ca="1" si="98"/>
        <v>822740</v>
      </c>
      <c r="N329" s="152">
        <f t="shared" ca="1" si="98"/>
        <v>538469.61</v>
      </c>
      <c r="O329" s="151">
        <f t="shared" ref="O329:O331" ca="1" si="99">IF(L329&gt;0,N329*100/L329,0)</f>
        <v>54.134958981783086</v>
      </c>
      <c r="P329" s="151">
        <f t="shared" ref="P329:P331" ca="1" si="100">IF(M329&gt;0,N329*100/M329,0)</f>
        <v>65.448332401487718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994680</v>
      </c>
      <c r="M331" s="157">
        <f t="shared" ca="1" si="102"/>
        <v>822740</v>
      </c>
      <c r="N331" s="157">
        <f t="shared" ca="1" si="102"/>
        <v>538469.61</v>
      </c>
      <c r="O331" s="156">
        <f t="shared" ca="1" si="99"/>
        <v>54.134958981783086</v>
      </c>
      <c r="P331" s="156">
        <f t="shared" ca="1" si="100"/>
        <v>65.448332401487718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994680</v>
      </c>
      <c r="M333" s="626">
        <f ca="1">IFERROR(__xludf.DUMMYFUNCTION("IMPORTRANGE(""https://docs.google.com/spreadsheets/d/1Yj_ptqi66GCucihVvJfMjLAmec39IyEx_6qawtMGysU/edit?usp=sharing"",""สบก!DL49"")"),822740)</f>
        <v>822740</v>
      </c>
      <c r="N333" s="627">
        <f ca="1">IFERROR(__xludf.DUMMYFUNCTION("IMPORTRANGE(""https://docs.google.com/spreadsheets/d/1Yj_ptqi66GCucihVvJfMjLAmec39IyEx_6qawtMGysU/edit?usp=sharing"",""สบก!DM49"")"),538469.61)</f>
        <v>538469.61</v>
      </c>
      <c r="O333" s="169">
        <f ca="1">IF(L333&gt;0,N333*100/L333,0)</f>
        <v>54.134958981783086</v>
      </c>
      <c r="P333" s="169">
        <f ca="1">IF(M333&gt;0,N333*100/M333,0)</f>
        <v>65.448332401487718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IFERROR(__xludf.DUMMYFUNCTION("IMPORTRANGE(""https://docs.google.com/spreadsheets/d/1Yj_ptqi66GCucihVvJfMjLAmec39IyEx_6qawtMGysU/edit?usp=sharing"",""สบก!DI49"")"),688680)</f>
        <v>688680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IFERROR(__xludf.DUMMYFUNCTION("IMPORTRANGE(""https://docs.google.com/spreadsheets/d/1Yj_ptqi66GCucihVvJfMjLAmec39IyEx_6qawtMGysU/edit?usp=sharing"",""สบก!DJ49"")"),0)</f>
        <v>0</v>
      </c>
      <c r="M337" s="625"/>
      <c r="N337" s="622">
        <f ca="1">IFERROR(__xludf.DUMMYFUNCTION("IMPORTRANGE(""https://docs.google.com/spreadsheets/d/1Yj_ptqi66GCucihVvJfMjLAmec39IyEx_6qawtMGysU/edit?usp=sharing"",""สบก!DN49"")"),0)</f>
        <v>0</v>
      </c>
      <c r="O337" s="625">
        <f ca="1">IF(L337&gt;0,N337*100/L337,0)</f>
        <v>0</v>
      </c>
      <c r="P337" s="625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IFERROR(__xludf.DUMMYFUNCTION("IMPORTRANGE(""https://docs.google.com/spreadsheets/d/1XL5vhW3sbDhbH9Cz0tuDiY8C3ctxq1tqvaCgkFb8cCA/edit?usp=sharing"",""เลย!J234"")"),238)</f>
        <v>238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IFERROR(__xludf.DUMMYFUNCTION("IMPORTRANGE(""https://docs.google.com/spreadsheets/d/1XL5vhW3sbDhbH9Cz0tuDiY8C3ctxq1tqvaCgkFb8cCA/edit?usp=sharing"",""เลย!J235"")"),2409.81999999999)</f>
        <v>2409.8199999999902</v>
      </c>
      <c r="K340" s="342">
        <f t="shared" ca="1" si="103"/>
        <v>59.649009900989853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IFERROR(__xludf.DUMMYFUNCTION("IMPORTRANGE(""https://docs.google.com/spreadsheets/d/1XL5vhW3sbDhbH9Cz0tuDiY8C3ctxq1tqvaCgkFb8cCA/edit?usp=sharing"",""เลย!I236"")"),710)</f>
        <v>710</v>
      </c>
      <c r="J341" s="188">
        <f ca="1">IFERROR(__xludf.DUMMYFUNCTION("IMPORTRANGE(""https://docs.google.com/spreadsheets/d/1XL5vhW3sbDhbH9Cz0tuDiY8C3ctxq1tqvaCgkFb8cCA/edit?usp=sharing"",""เลย!J236"")"),578)</f>
        <v>578</v>
      </c>
      <c r="K341" s="342">
        <f t="shared" ca="1" si="103"/>
        <v>81.408450704225359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IFERROR(__xludf.DUMMYFUNCTION("IMPORTRANGE(""https://docs.google.com/spreadsheets/d/1XL5vhW3sbDhbH9Cz0tuDiY8C3ctxq1tqvaCgkFb8cCA/edit?usp=sharing"",""เลย!J237"")"),8051.11)</f>
        <v>8051.11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IFERROR(__xludf.DUMMYFUNCTION("IMPORTRANGE(""https://docs.google.com/spreadsheets/d/1XL5vhW3sbDhbH9Cz0tuDiY8C3ctxq1tqvaCgkFb8cCA/edit?usp=sharing"",""เลย!I238"")"),710)</f>
        <v>710</v>
      </c>
      <c r="J343" s="188">
        <f ca="1">IFERROR(__xludf.DUMMYFUNCTION("IMPORTRANGE(""https://docs.google.com/spreadsheets/d/1XL5vhW3sbDhbH9Cz0tuDiY8C3ctxq1tqvaCgkFb8cCA/edit?usp=sharing"",""เลย!J238"")"),2)</f>
        <v>2</v>
      </c>
      <c r="K343" s="342">
        <f t="shared" ca="1" si="103"/>
        <v>0.28169014084507044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IFERROR(__xludf.DUMMYFUNCTION("IMPORTRANGE(""https://docs.google.com/spreadsheets/d/1XL5vhW3sbDhbH9Cz0tuDiY8C3ctxq1tqvaCgkFb8cCA/edit?usp=sharing"",""เลย!J239"")"),27.14)</f>
        <v>27.14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IFERROR(__xludf.DUMMYFUNCTION("IMPORTRANGE(""https://docs.google.com/spreadsheets/d/1XL5vhW3sbDhbH9Cz0tuDiY8C3ctxq1tqvaCgkFb8cCA/edit?usp=sharing"",""เลย!I240"")"),710)</f>
        <v>710</v>
      </c>
      <c r="J345" s="188">
        <f ca="1">IFERROR(__xludf.DUMMYFUNCTION("IMPORTRANGE(""https://docs.google.com/spreadsheets/d/1XL5vhW3sbDhbH9Cz0tuDiY8C3ctxq1tqvaCgkFb8cCA/edit?usp=sharing"",""เลย!J240"")"),588)</f>
        <v>588</v>
      </c>
      <c r="K345" s="342">
        <f t="shared" ca="1" si="103"/>
        <v>82.816901408450704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IFERROR(__xludf.DUMMYFUNCTION("IMPORTRANGE(""https://docs.google.com/spreadsheets/d/1XL5vhW3sbDhbH9Cz0tuDiY8C3ctxq1tqvaCgkFb8cCA/edit?usp=sharing"",""เลย!J241"")"),8197.32)</f>
        <v>8197.32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IFERROR(__xludf.DUMMYFUNCTION("IMPORTRANGE(""https://docs.google.com/spreadsheets/d/1XL5vhW3sbDhbH9Cz0tuDiY8C3ctxq1tqvaCgkFb8cCA/edit?usp=sharing"",""เลย!L242"")"),3064246)</f>
        <v>3064246</v>
      </c>
      <c r="M347" s="358"/>
      <c r="N347" s="358">
        <f ca="1">IFERROR(__xludf.DUMMYFUNCTION("IMPORTRANGE(""https://docs.google.com/spreadsheets/d/1XL5vhW3sbDhbH9Cz0tuDiY8C3ctxq1tqvaCgkFb8cCA/edit?usp=sharing"",""เลย!M242"")"),970193.07)</f>
        <v>970193.07</v>
      </c>
      <c r="O347" s="358">
        <f ca="1">+IF(L347&gt;0,N347*100/L347,0)</f>
        <v>31.661722655426491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IFERROR(__xludf.DUMMYFUNCTION("IMPORTRANGE(""https://docs.google.com/spreadsheets/d/1XL5vhW3sbDhbH9Cz0tuDiY8C3ctxq1tqvaCgkFb8cCA/edit?usp=sharing"",""เลย!M244"")"),138205)</f>
        <v>138205</v>
      </c>
      <c r="O349" s="373">
        <f ca="1">+IF(L349&gt;0,N349*100/L349,0)</f>
        <v>27.116033589703342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IFERROR(__xludf.DUMMYFUNCTION("IMPORTRANGE(""https://docs.google.com/spreadsheets/d/1XL5vhW3sbDhbH9Cz0tuDiY8C3ctxq1tqvaCgkFb8cCA/edit?usp=sharing"",""เลย!L247"")"),509680)</f>
        <v>509680</v>
      </c>
      <c r="M352" s="165"/>
      <c r="N352" s="164">
        <f ca="1">IFERROR(__xludf.DUMMYFUNCTION("IMPORTRANGE(""https://docs.google.com/spreadsheets/d/1XL5vhW3sbDhbH9Cz0tuDiY8C3ctxq1tqvaCgkFb8cCA/edit?usp=sharing"",""เลย!M247"")"),138205)</f>
        <v>138205</v>
      </c>
      <c r="O352" s="165">
        <f t="shared" ca="1" si="105"/>
        <v>27.116033589703342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IFERROR(__xludf.DUMMYFUNCTION("IMPORTRANGE(""https://docs.google.com/spreadsheets/d/1XL5vhW3sbDhbH9Cz0tuDiY8C3ctxq1tqvaCgkFb8cCA/edit?usp=sharing"",""เลย!L249"")"),509680)</f>
        <v>509680</v>
      </c>
      <c r="M354" s="169"/>
      <c r="N354" s="168">
        <f ca="1">IFERROR(__xludf.DUMMYFUNCTION("IMPORTRANGE(""https://docs.google.com/spreadsheets/d/1XL5vhW3sbDhbH9Cz0tuDiY8C3ctxq1tqvaCgkFb8cCA/edit?usp=sharing"",""เลย!M249"")"),138205)</f>
        <v>138205</v>
      </c>
      <c r="O354" s="169">
        <f t="shared" ca="1" si="105"/>
        <v>27.116033589703342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IFERROR(__xludf.DUMMYFUNCTION("IMPORTRANGE(""https://docs.google.com/spreadsheets/d/1XL5vhW3sbDhbH9Cz0tuDiY8C3ctxq1tqvaCgkFb8cCA/edit?usp=sharing"",""เลย!M250"")"),0)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IFERROR(__xludf.DUMMYFUNCTION("IMPORTRANGE(""https://docs.google.com/spreadsheets/d/1XL5vhW3sbDhbH9Cz0tuDiY8C3ctxq1tqvaCgkFb8cCA/edit?usp=sharing"",""เลย!M251"")"),0)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IFERROR(__xludf.DUMMYFUNCTION("IMPORTRANGE(""https://docs.google.com/spreadsheets/d/1XL5vhW3sbDhbH9Cz0tuDiY8C3ctxq1tqvaCgkFb8cCA/edit?usp=sharing"",""เลย!M252"")"),64165)</f>
        <v>64165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IFERROR(__xludf.DUMMYFUNCTION("IMPORTRANGE(""https://docs.google.com/spreadsheets/d/1XL5vhW3sbDhbH9Cz0tuDiY8C3ctxq1tqvaCgkFb8cCA/edit?usp=sharing"",""เลย!M253"")"),74040)</f>
        <v>74040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IFERROR(__xludf.DUMMYFUNCTION("IMPORTRANGE(""https://docs.google.com/spreadsheets/d/1XL5vhW3sbDhbH9Cz0tuDiY8C3ctxq1tqvaCgkFb8cCA/edit?usp=sharing"",""เลย!J274"")"),0)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IFERROR(__xludf.DUMMYFUNCTION("IMPORTRANGE(""https://docs.google.com/spreadsheets/d/1XL5vhW3sbDhbH9Cz0tuDiY8C3ctxq1tqvaCgkFb8cCA/edit?usp=sharing"",""เลย!M275"")"),157693)</f>
        <v>157693</v>
      </c>
      <c r="O380" s="373">
        <f ca="1">+IF(L380&gt;0,N380*100/L380,0)</f>
        <v>15.332030490413409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IFERROR(__xludf.DUMMYFUNCTION("IMPORTRANGE(""https://docs.google.com/spreadsheets/d/1XL5vhW3sbDhbH9Cz0tuDiY8C3ctxq1tqvaCgkFb8cCA/edit?usp=sharing"",""เลย!M278"")"),157693)</f>
        <v>157693</v>
      </c>
      <c r="O383" s="165">
        <f t="shared" ca="1" si="109"/>
        <v>15.332030490413409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IFERROR(__xludf.DUMMYFUNCTION("IMPORTRANGE(""https://docs.google.com/spreadsheets/d/1XL5vhW3sbDhbH9Cz0tuDiY8C3ctxq1tqvaCgkFb8cCA/edit?usp=sharing"",""เลย!M280"")"),157693)</f>
        <v>157693</v>
      </c>
      <c r="O385" s="169">
        <f t="shared" ca="1" si="109"/>
        <v>15.332030490413409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IFERROR(__xludf.DUMMYFUNCTION("IMPORTRANGE(""https://docs.google.com/spreadsheets/d/1XL5vhW3sbDhbH9Cz0tuDiY8C3ctxq1tqvaCgkFb8cCA/edit?usp=sharing"",""เลย!M281"")"),118100)</f>
        <v>118100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IFERROR(__xludf.DUMMYFUNCTION("IMPORTRANGE(""https://docs.google.com/spreadsheets/d/1XL5vhW3sbDhbH9Cz0tuDiY8C3ctxq1tqvaCgkFb8cCA/edit?usp=sharing"",""เลย!M282"")"),0)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IFERROR(__xludf.DUMMYFUNCTION("IMPORTRANGE(""https://docs.google.com/spreadsheets/d/1XL5vhW3sbDhbH9Cz0tuDiY8C3ctxq1tqvaCgkFb8cCA/edit?usp=sharing"",""เลย!M283"")"),35193)</f>
        <v>35193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IFERROR(__xludf.DUMMYFUNCTION("IMPORTRANGE(""https://docs.google.com/spreadsheets/d/1XL5vhW3sbDhbH9Cz0tuDiY8C3ctxq1tqvaCgkFb8cCA/edit?usp=sharing"",""เลย!M284"")"),4400)</f>
        <v>4400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IFERROR(__xludf.DUMMYFUNCTION("IMPORTRANGE(""https://docs.google.com/spreadsheets/d/1XL5vhW3sbDhbH9Cz0tuDiY8C3ctxq1tqvaCgkFb8cCA/edit?usp=sharing"",""เลย!J295"")"),0)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IFERROR(__xludf.DUMMYFUNCTION("IMPORTRANGE(""https://docs.google.com/spreadsheets/d/1XL5vhW3sbDhbH9Cz0tuDiY8C3ctxq1tqvaCgkFb8cCA/edit?usp=sharing"",""เลย!M296"")"),80510)</f>
        <v>80510</v>
      </c>
      <c r="O401" s="373">
        <f ca="1">+IF(L401&gt;0,N401*100/L401,0)</f>
        <v>54.727754741350012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IFERROR(__xludf.DUMMYFUNCTION("IMPORTRANGE(""https://docs.google.com/spreadsheets/d/1XL5vhW3sbDhbH9Cz0tuDiY8C3ctxq1tqvaCgkFb8cCA/edit?usp=sharing"",""เลย!M299"")"),80510)</f>
        <v>80510</v>
      </c>
      <c r="O404" s="169">
        <f t="shared" ca="1" si="112"/>
        <v>54.727754741350012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IFERROR(__xludf.DUMMYFUNCTION("IMPORTRANGE(""https://docs.google.com/spreadsheets/d/1XL5vhW3sbDhbH9Cz0tuDiY8C3ctxq1tqvaCgkFb8cCA/edit?usp=sharing"",""เลย!M301"")"),80510)</f>
        <v>80510</v>
      </c>
      <c r="O406" s="169">
        <f t="shared" ca="1" si="112"/>
        <v>54.727754741350012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IFERROR(__xludf.DUMMYFUNCTION("IMPORTRANGE(""https://docs.google.com/spreadsheets/d/1XL5vhW3sbDhbH9Cz0tuDiY8C3ctxq1tqvaCgkFb8cCA/edit?usp=sharing"",""เลย!M302"")"),70550)</f>
        <v>70550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IFERROR(__xludf.DUMMYFUNCTION("IMPORTRANGE(""https://docs.google.com/spreadsheets/d/1XL5vhW3sbDhbH9Cz0tuDiY8C3ctxq1tqvaCgkFb8cCA/edit?usp=sharing"",""เลย!M303"")"),0)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IFERROR(__xludf.DUMMYFUNCTION("IMPORTRANGE(""https://docs.google.com/spreadsheets/d/1XL5vhW3sbDhbH9Cz0tuDiY8C3ctxq1tqvaCgkFb8cCA/edit?usp=sharing"",""เลย!M305"")"),9960)</f>
        <v>9960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IFERROR(__xludf.DUMMYFUNCTION("IMPORTRANGE(""https://docs.google.com/spreadsheets/d/1XL5vhW3sbDhbH9Cz0tuDiY8C3ctxq1tqvaCgkFb8cCA/edit?usp=sharing"",""เลย!J329"")"),0)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IFERROR(__xludf.DUMMYFUNCTION("IMPORTRANGE(""https://docs.google.com/spreadsheets/d/1XL5vhW3sbDhbH9Cz0tuDiY8C3ctxq1tqvaCgkFb8cCA/edit?usp=sharing"",""เลย!M330"")"),30028.71)</f>
        <v>30028.71</v>
      </c>
      <c r="O435" s="412">
        <f t="shared" ref="O435:O439" ca="1" si="114">+IF(L435&gt;0,N435*100/L435,0)</f>
        <v>38.998324675324675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IFERROR(__xludf.DUMMYFUNCTION("IMPORTRANGE(""https://docs.google.com/spreadsheets/d/1XL5vhW3sbDhbH9Cz0tuDiY8C3ctxq1tqvaCgkFb8cCA/edit?usp=sharing"",""เลย!M332"")"),30028.71)</f>
        <v>30028.71</v>
      </c>
      <c r="O437" s="169">
        <f t="shared" ca="1" si="114"/>
        <v>38.998324675324675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IFERROR(__xludf.DUMMYFUNCTION("IMPORTRANGE(""https://docs.google.com/spreadsheets/d/1XL5vhW3sbDhbH9Cz0tuDiY8C3ctxq1tqvaCgkFb8cCA/edit?usp=sharing"",""เลย!M334"")"),30028.71)</f>
        <v>30028.71</v>
      </c>
      <c r="O439" s="169">
        <f t="shared" ca="1" si="114"/>
        <v>38.998324675324675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IFERROR(__xludf.DUMMYFUNCTION("IMPORTRANGE(""https://docs.google.com/spreadsheets/d/1XL5vhW3sbDhbH9Cz0tuDiY8C3ctxq1tqvaCgkFb8cCA/edit?usp=sharing"",""เลย!M335"")"),25780)</f>
        <v>25780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IFERROR(__xludf.DUMMYFUNCTION("IMPORTRANGE(""https://docs.google.com/spreadsheets/d/1XL5vhW3sbDhbH9Cz0tuDiY8C3ctxq1tqvaCgkFb8cCA/edit?usp=sharing"",""เลย!M338"")"),4248.71)</f>
        <v>4248.71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IFERROR(__xludf.DUMMYFUNCTION("IMPORTRANGE(""https://docs.google.com/spreadsheets/d/1XL5vhW3sbDhbH9Cz0tuDiY8C3ctxq1tqvaCgkFb8cCA/edit?usp=sharing"",""เลย!J349"")"),0)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IFERROR(__xludf.DUMMYFUNCTION("IMPORTRANGE(""https://docs.google.com/spreadsheets/d/1XL5vhW3sbDhbH9Cz0tuDiY8C3ctxq1tqvaCgkFb8cCA/edit?usp=sharing"",""เลย!J350"")"),57216.5774999998)</f>
        <v>57216.577499999803</v>
      </c>
      <c r="K455" s="372">
        <f ca="1">IF(I455&gt;0,J455*100/I455,0)</f>
        <v>100.06396904512033</v>
      </c>
      <c r="L455" s="373">
        <f ca="1">IFERROR(__xludf.DUMMYFUNCTION("IMPORTRANGE(""https://docs.google.com/spreadsheets/d/1XL5vhW3sbDhbH9Cz0tuDiY8C3ctxq1tqvaCgkFb8cCA/edit?usp=sharing"",""เลย!L350"")"),526736)</f>
        <v>526736</v>
      </c>
      <c r="M455" s="373"/>
      <c r="N455" s="373">
        <f ca="1">IFERROR(__xludf.DUMMYFUNCTION("IMPORTRANGE(""https://docs.google.com/spreadsheets/d/1XL5vhW3sbDhbH9Cz0tuDiY8C3ctxq1tqvaCgkFb8cCA/edit?usp=sharing"",""เลย!M350"")"),155633)</f>
        <v>155633</v>
      </c>
      <c r="O455" s="373">
        <f t="shared" ref="O455:O459" ca="1" si="116">+IF(L455&gt;0,N455*100/L455,0)</f>
        <v>29.546679930743295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IFERROR(__xludf.DUMMYFUNCTION("IMPORTRANGE(""https://docs.google.com/spreadsheets/d/1XL5vhW3sbDhbH9Cz0tuDiY8C3ctxq1tqvaCgkFb8cCA/edit?usp=sharing"",""เลย!L352"")"),526736)</f>
        <v>526736</v>
      </c>
      <c r="M457" s="165"/>
      <c r="N457" s="169">
        <f ca="1">IFERROR(__xludf.DUMMYFUNCTION("IMPORTRANGE(""https://docs.google.com/spreadsheets/d/1XL5vhW3sbDhbH9Cz0tuDiY8C3ctxq1tqvaCgkFb8cCA/edit?usp=sharing"",""เลย!M352"")"),155633)</f>
        <v>155633</v>
      </c>
      <c r="O457" s="169">
        <f t="shared" ca="1" si="116"/>
        <v>29.546679930743295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IFERROR(__xludf.DUMMYFUNCTION("IMPORTRANGE(""https://docs.google.com/spreadsheets/d/1XL5vhW3sbDhbH9Cz0tuDiY8C3ctxq1tqvaCgkFb8cCA/edit?usp=sharing"",""เลย!L354"")"),526736)</f>
        <v>526736</v>
      </c>
      <c r="M459" s="169"/>
      <c r="N459" s="169">
        <f ca="1">IFERROR(__xludf.DUMMYFUNCTION("IMPORTRANGE(""https://docs.google.com/spreadsheets/d/1XL5vhW3sbDhbH9Cz0tuDiY8C3ctxq1tqvaCgkFb8cCA/edit?usp=sharing"",""เลย!M354"")"),155633)</f>
        <v>155633</v>
      </c>
      <c r="O459" s="169">
        <f t="shared" ca="1" si="116"/>
        <v>29.546679930743295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IFERROR(__xludf.DUMMYFUNCTION("IMPORTRANGE(""https://docs.google.com/spreadsheets/d/1XL5vhW3sbDhbH9Cz0tuDiY8C3ctxq1tqvaCgkFb8cCA/edit?usp=sharing"",""เลย!M357"")"),63808)</f>
        <v>63808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IFERROR(__xludf.DUMMYFUNCTION("IMPORTRANGE(""https://docs.google.com/spreadsheets/d/1XL5vhW3sbDhbH9Cz0tuDiY8C3ctxq1tqvaCgkFb8cCA/edit?usp=sharing"",""เลย!M358"")"),91825)</f>
        <v>91825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IFERROR(__xludf.DUMMYFUNCTION("IMPORTRANGE(""https://docs.google.com/spreadsheets/d/1XL5vhW3sbDhbH9Cz0tuDiY8C3ctxq1tqvaCgkFb8cCA/edit?usp=sharing"",""เลย!I359"")"),57180)</f>
        <v>57180</v>
      </c>
      <c r="J464" s="267">
        <f ca="1">IFERROR(__xludf.DUMMYFUNCTION("IMPORTRANGE(""https://docs.google.com/spreadsheets/d/1XL5vhW3sbDhbH9Cz0tuDiY8C3ctxq1tqvaCgkFb8cCA/edit?usp=sharing"",""เลย!J359"")"),57216.5774999998)</f>
        <v>57216.577499999803</v>
      </c>
      <c r="K464" s="268">
        <f t="shared" ref="K464:K515" ca="1" si="117">IF(I464&gt;0,J464*100/I464,0)</f>
        <v>100.06396904512033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IFERROR(__xludf.DUMMYFUNCTION("IMPORTRANGE(""https://docs.google.com/spreadsheets/d/1XL5vhW3sbDhbH9Cz0tuDiY8C3ctxq1tqvaCgkFb8cCA/edit?usp=sharing"",""เลย!J376"")"),57216.5774999998)</f>
        <v>57216.577499999803</v>
      </c>
      <c r="K481" s="202">
        <f t="shared" ca="1" si="117"/>
        <v>100.06396904512033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IFERROR(__xludf.DUMMYFUNCTION("IMPORTRANGE(""https://docs.google.com/spreadsheets/d/1XL5vhW3sbDhbH9Cz0tuDiY8C3ctxq1tqvaCgkFb8cCA/edit?usp=sharing"",""เลย!J378"")"),53782.215)</f>
        <v>53782.214999999997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IFERROR(__xludf.DUMMYFUNCTION("IMPORTRANGE(""https://docs.google.com/spreadsheets/d/1XL5vhW3sbDhbH9Cz0tuDiY8C3ctxq1tqvaCgkFb8cCA/edit?usp=sharing"",""เลย!J379"")"),5569)</f>
        <v>5569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IFERROR(__xludf.DUMMYFUNCTION("IMPORTRANGE(""https://docs.google.com/spreadsheets/d/1XL5vhW3sbDhbH9Cz0tuDiY8C3ctxq1tqvaCgkFb8cCA/edit?usp=sharing"",""เลย!J380"")"),2197.0225)</f>
        <v>2197.0225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IFERROR(__xludf.DUMMYFUNCTION("IMPORTRANGE(""https://docs.google.com/spreadsheets/d/1XL5vhW3sbDhbH9Cz0tuDiY8C3ctxq1tqvaCgkFb8cCA/edit?usp=sharing"",""เลย!J381"")"),99)</f>
        <v>99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IFERROR(__xludf.DUMMYFUNCTION("IMPORTRANGE(""https://docs.google.com/spreadsheets/d/1XL5vhW3sbDhbH9Cz0tuDiY8C3ctxq1tqvaCgkFb8cCA/edit?usp=sharing"",""เลย!J382"")"),1237.34)</f>
        <v>1237.3399999999999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IFERROR(__xludf.DUMMYFUNCTION("IMPORTRANGE(""https://docs.google.com/spreadsheets/d/1XL5vhW3sbDhbH9Cz0tuDiY8C3ctxq1tqvaCgkFb8cCA/edit?usp=sharing"",""เลย!J383"")"),134)</f>
        <v>134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IFERROR(__xludf.DUMMYFUNCTION("IMPORTRANGE(""https://docs.google.com/spreadsheets/d/1XL5vhW3sbDhbH9Cz0tuDiY8C3ctxq1tqvaCgkFb8cCA/edit?usp=sharing"",""เลย!J384"")"),1220.8725)</f>
        <v>1220.8724999999999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IFERROR(__xludf.DUMMYFUNCTION("IMPORTRANGE(""https://docs.google.com/spreadsheets/d/1XL5vhW3sbDhbH9Cz0tuDiY8C3ctxq1tqvaCgkFb8cCA/edit?usp=sharing"",""เลย!J385"")"),133)</f>
        <v>133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IFERROR(__xludf.DUMMYFUNCTION("IMPORTRANGE(""https://docs.google.com/spreadsheets/d/1XL5vhW3sbDhbH9Cz0tuDiY8C3ctxq1tqvaCgkFb8cCA/edit?usp=sharing"",""เลย!J386"")"),16.4675)</f>
        <v>16.467500000000001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IFERROR(__xludf.DUMMYFUNCTION("IMPORTRANGE(""https://docs.google.com/spreadsheets/d/1XL5vhW3sbDhbH9Cz0tuDiY8C3ctxq1tqvaCgkFb8cCA/edit?usp=sharing"",""เลย!J387"")"),1)</f>
        <v>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IFERROR(__xludf.DUMMYFUNCTION("IMPORTRANGE(""https://docs.google.com/spreadsheets/d/1XL5vhW3sbDhbH9Cz0tuDiY8C3ctxq1tqvaCgkFb8cCA/edit?usp=sharing"",""เลย!J392"")"),811.14)</f>
        <v>811.14</v>
      </c>
      <c r="K497" s="444">
        <f t="shared" ca="1" si="117"/>
        <v>49.399512789281367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IFERROR(__xludf.DUMMYFUNCTION("IMPORTRANGE(""https://docs.google.com/spreadsheets/d/1XL5vhW3sbDhbH9Cz0tuDiY8C3ctxq1tqvaCgkFb8cCA/edit?usp=sharing"",""เลย!J393"")"),811.14)</f>
        <v>811.14</v>
      </c>
      <c r="K498" s="202">
        <f t="shared" ca="1" si="117"/>
        <v>49.399512789281367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IFERROR(__xludf.DUMMYFUNCTION("IMPORTRANGE(""https://docs.google.com/spreadsheets/d/1XL5vhW3sbDhbH9Cz0tuDiY8C3ctxq1tqvaCgkFb8cCA/edit?usp=sharing"",""เลย!J394"")"),60)</f>
        <v>60</v>
      </c>
      <c r="K499" s="202">
        <f t="shared" ca="1" si="117"/>
        <v>48.780487804878049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IFERROR(__xludf.DUMMYFUNCTION("IMPORTRANGE(""https://docs.google.com/spreadsheets/d/1XL5vhW3sbDhbH9Cz0tuDiY8C3ctxq1tqvaCgkFb8cCA/edit?usp=sharing"",""เลย!J395"")"),810)</f>
        <v>810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IFERROR(__xludf.DUMMYFUNCTION("IMPORTRANGE(""https://docs.google.com/spreadsheets/d/1XL5vhW3sbDhbH9Cz0tuDiY8C3ctxq1tqvaCgkFb8cCA/edit?usp=sharing"",""เลย!J397"")"),810)</f>
        <v>810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IFERROR(__xludf.DUMMYFUNCTION("IMPORTRANGE(""https://docs.google.com/spreadsheets/d/1XL5vhW3sbDhbH9Cz0tuDiY8C3ctxq1tqvaCgkFb8cCA/edit?usp=sharing"",""เลย!J398"")"),58)</f>
        <v>58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638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639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IFERROR(__xludf.DUMMYFUNCTION("IMPORTRANGE(""https://docs.google.com/spreadsheets/d/1XL5vhW3sbDhbH9Cz0tuDiY8C3ctxq1tqvaCgkFb8cCA/edit?usp=sharing"",""เลย!I411"")"),0)</f>
        <v>0</v>
      </c>
      <c r="J516" s="267">
        <f ca="1">IFERROR(__xludf.DUMMYFUNCTION("IMPORTRANGE(""https://docs.google.com/spreadsheets/d/1XL5vhW3sbDhbH9Cz0tuDiY8C3ctxq1tqvaCgkFb8cCA/edit?usp=sharing"",""เลย!J411"")"),0)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IFERROR(__xludf.DUMMYFUNCTION("IMPORTRANGE(""https://docs.google.com/spreadsheets/d/1XL5vhW3sbDhbH9Cz0tuDiY8C3ctxq1tqvaCgkFb8cCA/edit?usp=sharing"",""เลย!I412"")"),0)</f>
        <v>0</v>
      </c>
      <c r="J517" s="284">
        <f ca="1">IFERROR(__xludf.DUMMYFUNCTION("IMPORTRANGE(""https://docs.google.com/spreadsheets/d/1XL5vhW3sbDhbH9Cz0tuDiY8C3ctxq1tqvaCgkFb8cCA/edit?usp=sharing"",""เลย!J412"")"),0)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IFERROR(__xludf.DUMMYFUNCTION("IMPORTRANGE(""https://docs.google.com/spreadsheets/d/1XL5vhW3sbDhbH9Cz0tuDiY8C3ctxq1tqvaCgkFb8cCA/edit?usp=sharing"",""เลย!I413"")"),0)</f>
        <v>0</v>
      </c>
      <c r="J518" s="284">
        <f ca="1">IFERROR(__xludf.DUMMYFUNCTION("IMPORTRANGE(""https://docs.google.com/spreadsheets/d/1XL5vhW3sbDhbH9Cz0tuDiY8C3ctxq1tqvaCgkFb8cCA/edit?usp=sharing"",""เลย!J413"")"),0)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IFERROR(__xludf.DUMMYFUNCTION("IMPORTRANGE(""https://docs.google.com/spreadsheets/d/1XL5vhW3sbDhbH9Cz0tuDiY8C3ctxq1tqvaCgkFb8cCA/edit?usp=sharing"",""เลย!I420"")"),0)</f>
        <v>0</v>
      </c>
      <c r="J525" s="284">
        <f ca="1">IFERROR(__xludf.DUMMYFUNCTION("IMPORTRANGE(""https://docs.google.com/spreadsheets/d/1XL5vhW3sbDhbH9Cz0tuDiY8C3ctxq1tqvaCgkFb8cCA/edit?usp=sharing"",""เลย!J420"")"),0)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IFERROR(__xludf.DUMMYFUNCTION("IMPORTRANGE(""https://docs.google.com/spreadsheets/d/1XL5vhW3sbDhbH9Cz0tuDiY8C3ctxq1tqvaCgkFb8cCA/edit?usp=sharing"",""เลย!I421"")"),0)</f>
        <v>0</v>
      </c>
      <c r="J526" s="284">
        <f ca="1">IFERROR(__xludf.DUMMYFUNCTION("IMPORTRANGE(""https://docs.google.com/spreadsheets/d/1XL5vhW3sbDhbH9Cz0tuDiY8C3ctxq1tqvaCgkFb8cCA/edit?usp=sharing"",""เลย!J421"")"),0)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IFERROR(__xludf.DUMMYFUNCTION("IMPORTRANGE(""https://docs.google.com/spreadsheets/d/1XL5vhW3sbDhbH9Cz0tuDiY8C3ctxq1tqvaCgkFb8cCA/edit?usp=sharing"",""เลย!M428"")"),24600)</f>
        <v>24600</v>
      </c>
      <c r="O533" s="412">
        <f t="shared" ref="O533:O537" ca="1" si="118">+IF(L533&gt;0,N533*100/L533,0)</f>
        <v>71.6365754222481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IFERROR(__xludf.DUMMYFUNCTION("IMPORTRANGE(""https://docs.google.com/spreadsheets/d/1XL5vhW3sbDhbH9Cz0tuDiY8C3ctxq1tqvaCgkFb8cCA/edit?usp=sharing"",""เลย!M430"")"),24600)</f>
        <v>24600</v>
      </c>
      <c r="O535" s="169">
        <f t="shared" ca="1" si="118"/>
        <v>71.6365754222481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IFERROR(__xludf.DUMMYFUNCTION("IMPORTRANGE(""https://docs.google.com/spreadsheets/d/1XL5vhW3sbDhbH9Cz0tuDiY8C3ctxq1tqvaCgkFb8cCA/edit?usp=sharing"",""เลย!M432"")"),24600)</f>
        <v>24600</v>
      </c>
      <c r="O537" s="169">
        <f t="shared" ca="1" si="118"/>
        <v>71.6365754222481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IFERROR(__xludf.DUMMYFUNCTION("IMPORTRANGE(""https://docs.google.com/spreadsheets/d/1XL5vhW3sbDhbH9Cz0tuDiY8C3ctxq1tqvaCgkFb8cCA/edit?usp=sharing"",""เลย!M436"")"),5860)</f>
        <v>5860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IFERROR(__xludf.DUMMYFUNCTION("IMPORTRANGE(""https://docs.google.com/spreadsheets/d/1XL5vhW3sbDhbH9Cz0tuDiY8C3ctxq1tqvaCgkFb8cCA/edit?usp=sharing"",""เลย!J446"")"),3686)</f>
        <v>3686</v>
      </c>
      <c r="K551" s="411">
        <f ca="1">IF(I551&gt;0,J551*100/I551,0)</f>
        <v>73.72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IFERROR(__xludf.DUMMYFUNCTION("IMPORTRANGE(""https://docs.google.com/spreadsheets/d/1XL5vhW3sbDhbH9Cz0tuDiY8C3ctxq1tqvaCgkFb8cCA/edit?usp=sharing"",""เลย!M446"")"),234905.82)</f>
        <v>234905.82</v>
      </c>
      <c r="O551" s="412">
        <f t="shared" ref="O551:O555" ca="1" si="120">+IF(L551&gt;0,N551*100/L551,0)</f>
        <v>75.77607096774193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IFERROR(__xludf.DUMMYFUNCTION("IMPORTRANGE(""https://docs.google.com/spreadsheets/d/1XL5vhW3sbDhbH9Cz0tuDiY8C3ctxq1tqvaCgkFb8cCA/edit?usp=sharing"",""เลย!M448"")"),234905.82)</f>
        <v>234905.82</v>
      </c>
      <c r="O553" s="169">
        <f t="shared" ca="1" si="120"/>
        <v>75.77607096774193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IFERROR(__xludf.DUMMYFUNCTION("IMPORTRANGE(""https://docs.google.com/spreadsheets/d/1XL5vhW3sbDhbH9Cz0tuDiY8C3ctxq1tqvaCgkFb8cCA/edit?usp=sharing"",""เลย!M450"")"),234905.82)</f>
        <v>234905.82</v>
      </c>
      <c r="O555" s="169">
        <f t="shared" ca="1" si="120"/>
        <v>75.77607096774193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IFERROR(__xludf.DUMMYFUNCTION("IMPORTRANGE(""https://docs.google.com/spreadsheets/d/1XL5vhW3sbDhbH9Cz0tuDiY8C3ctxq1tqvaCgkFb8cCA/edit?usp=sharing"",""เลย!M453"")"),53800)</f>
        <v>53800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IFERROR(__xludf.DUMMYFUNCTION("IMPORTRANGE(""https://docs.google.com/spreadsheets/d/1XL5vhW3sbDhbH9Cz0tuDiY8C3ctxq1tqvaCgkFb8cCA/edit?usp=sharing"",""เลย!M454"")"),181105.82)</f>
        <v>181105.82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IFERROR(__xludf.DUMMYFUNCTION("IMPORTRANGE(""https://docs.google.com/spreadsheets/d/1XL5vhW3sbDhbH9Cz0tuDiY8C3ctxq1tqvaCgkFb8cCA/edit?usp=sharing"",""เลย!J455"")"),3686)</f>
        <v>3686</v>
      </c>
      <c r="K560" s="224">
        <f t="shared" ref="K560:K561" ca="1" si="121">IF(I560&gt;0,J560*100/I560,0)</f>
        <v>73.72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IFERROR(__xludf.DUMMYFUNCTION("IMPORTRANGE(""https://docs.google.com/spreadsheets/d/1XL5vhW3sbDhbH9Cz0tuDiY8C3ctxq1tqvaCgkFb8cCA/edit?usp=sharing"",""เลย!J456"")"),278)</f>
        <v>278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IFERROR(__xludf.DUMMYFUNCTION("IMPORTRANGE(""https://docs.google.com/spreadsheets/d/1XL5vhW3sbDhbH9Cz0tuDiY8C3ctxq1tqvaCgkFb8cCA/edit?usp=sharing"",""เลย!J459"")"),5007)</f>
        <v>5007</v>
      </c>
      <c r="K564" s="372">
        <f ca="1">IF(I564&gt;0,J564*100/I564,0)</f>
        <v>147.26470588235293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IFERROR(__xludf.DUMMYFUNCTION("IMPORTRANGE(""https://docs.google.com/spreadsheets/d/1XL5vhW3sbDhbH9Cz0tuDiY8C3ctxq1tqvaCgkFb8cCA/edit?usp=sharing"",""เลย!M459"")"),101718)</f>
        <v>101718</v>
      </c>
      <c r="O564" s="373">
        <f t="shared" ref="O564:O568" ca="1" si="122">+IF(L564&gt;0,N564*100/L564,0)</f>
        <v>61.722087378640779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IFERROR(__xludf.DUMMYFUNCTION("IMPORTRANGE(""https://docs.google.com/spreadsheets/d/1XL5vhW3sbDhbH9Cz0tuDiY8C3ctxq1tqvaCgkFb8cCA/edit?usp=sharing"",""เลย!M461"")"),101718)</f>
        <v>101718</v>
      </c>
      <c r="O566" s="169">
        <f t="shared" ca="1" si="122"/>
        <v>61.722087378640779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IFERROR(__xludf.DUMMYFUNCTION("IMPORTRANGE(""https://docs.google.com/spreadsheets/d/1XL5vhW3sbDhbH9Cz0tuDiY8C3ctxq1tqvaCgkFb8cCA/edit?usp=sharing"",""เลย!M463"")"),101718)</f>
        <v>101718</v>
      </c>
      <c r="O568" s="169">
        <f t="shared" ca="1" si="122"/>
        <v>61.722087378640779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IFERROR(__xludf.DUMMYFUNCTION("IMPORTRANGE(""https://docs.google.com/spreadsheets/d/1XL5vhW3sbDhbH9Cz0tuDiY8C3ctxq1tqvaCgkFb8cCA/edit?usp=sharing"",""เลย!M466"")"),66000)</f>
        <v>66000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IFERROR(__xludf.DUMMYFUNCTION("IMPORTRANGE(""https://docs.google.com/spreadsheets/d/1XL5vhW3sbDhbH9Cz0tuDiY8C3ctxq1tqvaCgkFb8cCA/edit?usp=sharing"",""เลย!M467"")"),35718)</f>
        <v>35718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IFERROR(__xludf.DUMMYFUNCTION("IMPORTRANGE(""https://docs.google.com/spreadsheets/d/1XL5vhW3sbDhbH9Cz0tuDiY8C3ctxq1tqvaCgkFb8cCA/edit?usp=sharing"",""เลย!J468"")"),5007)</f>
        <v>5007</v>
      </c>
      <c r="K573" s="202">
        <f ca="1">IF(I573&gt;0,J573*100/I573,0)</f>
        <v>147.26470588235293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IFERROR(__xludf.DUMMYFUNCTION("IMPORTRANGE(""https://docs.google.com/spreadsheets/d/1XL5vhW3sbDhbH9Cz0tuDiY8C3ctxq1tqvaCgkFb8cCA/edit?usp=sharing"",""เลย!J470"")"),7)</f>
        <v>7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IFERROR(__xludf.DUMMYFUNCTION("IMPORTRANGE(""https://docs.google.com/spreadsheets/d/1XL5vhW3sbDhbH9Cz0tuDiY8C3ctxq1tqvaCgkFb8cCA/edit?usp=sharing"",""เลย!J471"")"),556)</f>
        <v>556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IFERROR(__xludf.DUMMYFUNCTION("IMPORTRANGE(""https://docs.google.com/spreadsheets/d/1XL5vhW3sbDhbH9Cz0tuDiY8C3ctxq1tqvaCgkFb8cCA/edit?usp=sharing"",""เลย!J472"")"),4440)</f>
        <v>4440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IFERROR(__xludf.DUMMYFUNCTION("IMPORTRANGE(""https://docs.google.com/spreadsheets/d/1XL5vhW3sbDhbH9Cz0tuDiY8C3ctxq1tqvaCgkFb8cCA/edit?usp=sharing"",""เลย!J474"")"),9)</f>
        <v>9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IFERROR(__xludf.DUMMYFUNCTION("IMPORTRANGE(""https://docs.google.com/spreadsheets/d/1XL5vhW3sbDhbH9Cz0tuDiY8C3ctxq1tqvaCgkFb8cCA/edit?usp=sharing"",""เลย!M475"")"),45999.54)</f>
        <v>45999.54</v>
      </c>
      <c r="O580" s="373">
        <f t="shared" ref="O580:O584" ca="1" si="124">+IF(L580&gt;0,N580*100/L580,0)</f>
        <v>17.852806023441744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IFERROR(__xludf.DUMMYFUNCTION("IMPORTRANGE(""https://docs.google.com/spreadsheets/d/1XL5vhW3sbDhbH9Cz0tuDiY8C3ctxq1tqvaCgkFb8cCA/edit?usp=sharing"",""เลย!M477"")"),45999.54)</f>
        <v>45999.54</v>
      </c>
      <c r="O582" s="169">
        <f t="shared" ca="1" si="124"/>
        <v>17.852806023441744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IFERROR(__xludf.DUMMYFUNCTION("IMPORTRANGE(""https://docs.google.com/spreadsheets/d/1XL5vhW3sbDhbH9Cz0tuDiY8C3ctxq1tqvaCgkFb8cCA/edit?usp=sharing"",""เลย!M479"")"),45999.54)</f>
        <v>45999.54</v>
      </c>
      <c r="O584" s="169">
        <f t="shared" ca="1" si="124"/>
        <v>17.852806023441744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IFERROR(__xludf.DUMMYFUNCTION("IMPORTRANGE(""https://docs.google.com/spreadsheets/d/1XL5vhW3sbDhbH9Cz0tuDiY8C3ctxq1tqvaCgkFb8cCA/edit?usp=sharing"",""เลย!M482"")"),26037)</f>
        <v>26037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IFERROR(__xludf.DUMMYFUNCTION("IMPORTRANGE(""https://docs.google.com/spreadsheets/d/1XL5vhW3sbDhbH9Cz0tuDiY8C3ctxq1tqvaCgkFb8cCA/edit?usp=sharing"",""เลย!M483"")"),19962.54)</f>
        <v>19962.54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IFERROR(__xludf.DUMMYFUNCTION("IMPORTRANGE(""https://docs.google.com/spreadsheets/d/1XL5vhW3sbDhbH9Cz0tuDiY8C3ctxq1tqvaCgkFb8cCA/edit?usp=sharing"",""เลย!J484"")"),4)</f>
        <v>4</v>
      </c>
      <c r="K589" s="163">
        <f t="shared" ref="K589:K596" ca="1" si="125">IF(I589&gt;0,J589*100/I589,0)</f>
        <v>6.666666666666667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IFERROR(__xludf.DUMMYFUNCTION("IMPORTRANGE(""https://docs.google.com/spreadsheets/d/1XL5vhW3sbDhbH9Cz0tuDiY8C3ctxq1tqvaCgkFb8cCA/edit?usp=sharing"",""เลย!J485"")"),1.83)</f>
        <v>1.83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IFERROR(__xludf.DUMMYFUNCTION("IMPORTRANGE(""https://docs.google.com/spreadsheets/d/1XL5vhW3sbDhbH9Cz0tuDiY8C3ctxq1tqvaCgkFb8cCA/edit?usp=sharing"",""เลย!J486"")"),17)</f>
        <v>17</v>
      </c>
      <c r="K591" s="163">
        <f t="shared" ca="1" si="125"/>
        <v>28.333333333333332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IFERROR(__xludf.DUMMYFUNCTION("IMPORTRANGE(""https://docs.google.com/spreadsheets/d/1XL5vhW3sbDhbH9Cz0tuDiY8C3ctxq1tqvaCgkFb8cCA/edit?usp=sharing"",""เลย!J487"")"),12.9)</f>
        <v>12.9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IFERROR(__xludf.DUMMYFUNCTION("IMPORTRANGE(""https://docs.google.com/spreadsheets/d/1XL5vhW3sbDhbH9Cz0tuDiY8C3ctxq1tqvaCgkFb8cCA/edit?usp=sharing"",""เลย!I491"")"),0)</f>
        <v>0</v>
      </c>
      <c r="J596" s="241">
        <f ca="1">IFERROR(__xludf.DUMMYFUNCTION("IMPORTRANGE(""https://docs.google.com/spreadsheets/d/1XL5vhW3sbDhbH9Cz0tuDiY8C3ctxq1tqvaCgkFb8cCA/edit?usp=sharing"",""เลย!J491"")"),0)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7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IFERROR(__xludf.DUMMYFUNCTION("IMPORTRANGE(""https://docs.google.com/spreadsheets/d/1XL5vhW3sbDhbH9Cz0tuDiY8C3ctxq1tqvaCgkFb8cCA/edit?usp=sharing"",""เลย!L492"")"),8400)</f>
        <v>8400</v>
      </c>
      <c r="M597" s="412"/>
      <c r="N597" s="412">
        <f ca="1">IFERROR(__xludf.DUMMYFUNCTION("IMPORTRANGE(""https://docs.google.com/spreadsheets/d/1XL5vhW3sbDhbH9Cz0tuDiY8C3ctxq1tqvaCgkFb8cCA/edit?usp=sharing"",""เลย!M492"")"),900)</f>
        <v>900</v>
      </c>
      <c r="O597" s="412">
        <f t="shared" ref="O597:O601" ca="1" si="126">+IF(L597&gt;0,N597*100/L597,0)</f>
        <v>10.714285714285714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IFERROR(__xludf.DUMMYFUNCTION("IMPORTRANGE(""https://docs.google.com/spreadsheets/d/1XL5vhW3sbDhbH9Cz0tuDiY8C3ctxq1tqvaCgkFb8cCA/edit?usp=sharing"",""เลย!L494"")"),8400)</f>
        <v>8400</v>
      </c>
      <c r="M599" s="165"/>
      <c r="N599" s="169">
        <f ca="1">IFERROR(__xludf.DUMMYFUNCTION("IMPORTRANGE(""https://docs.google.com/spreadsheets/d/1XL5vhW3sbDhbH9Cz0tuDiY8C3ctxq1tqvaCgkFb8cCA/edit?usp=sharing"",""เลย!M494"")"),900)</f>
        <v>900</v>
      </c>
      <c r="O599" s="169">
        <f t="shared" ca="1" si="126"/>
        <v>10.714285714285714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IFERROR(__xludf.DUMMYFUNCTION("IMPORTRANGE(""https://docs.google.com/spreadsheets/d/1XL5vhW3sbDhbH9Cz0tuDiY8C3ctxq1tqvaCgkFb8cCA/edit?usp=sharing"",""เลย!L496"")"),8400)</f>
        <v>8400</v>
      </c>
      <c r="M601" s="169"/>
      <c r="N601" s="169">
        <f ca="1">IFERROR(__xludf.DUMMYFUNCTION("IMPORTRANGE(""https://docs.google.com/spreadsheets/d/1XL5vhW3sbDhbH9Cz0tuDiY8C3ctxq1tqvaCgkFb8cCA/edit?usp=sharing"",""เลย!M496"")"),900)</f>
        <v>900</v>
      </c>
      <c r="O601" s="169">
        <f t="shared" ca="1" si="126"/>
        <v>10.714285714285714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IFERROR(__xludf.DUMMYFUNCTION("IMPORTRANGE(""https://docs.google.com/spreadsheets/d/1XL5vhW3sbDhbH9Cz0tuDiY8C3ctxq1tqvaCgkFb8cCA/edit?usp=sharing"",""เลย!M500"")"),900)</f>
        <v>900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IFERROR(__xludf.DUMMYFUNCTION("IMPORTRANGE(""https://docs.google.com/spreadsheets/d/1XL5vhW3sbDhbH9Cz0tuDiY8C3ctxq1tqvaCgkFb8cCA/edit?usp=sharing"",""เลย!J166"")"),0)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IFERROR(__xludf.DUMMYFUNCTION("IMPORTRANGE(""https://docs.google.com/spreadsheets/d/1XL5vhW3sbDhbH9Cz0tuDiY8C3ctxq1tqvaCgkFb8cCA/edit?usp=sharing"",""เลย!J166"")"),0)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IFERROR(__xludf.DUMMYFUNCTION("IMPORTRANGE(""https://docs.google.com/spreadsheets/d/1XL5vhW3sbDhbH9Cz0tuDiY8C3ctxq1tqvaCgkFb8cCA/edit?usp=sharing"",""เลย!J507"")"),100)</f>
        <v>100</v>
      </c>
      <c r="K612" s="163">
        <f t="shared" ca="1" si="127"/>
        <v>83.333333333333329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IFERROR(__xludf.DUMMYFUNCTION("IMPORTRANGE(""https://docs.google.com/spreadsheets/d/1XL5vhW3sbDhbH9Cz0tuDiY8C3ctxq1tqvaCgkFb8cCA/edit?usp=sharing"",""เลย!J508"")"),100)</f>
        <v>100</v>
      </c>
      <c r="K613" s="163">
        <f t="shared" ca="1" si="127"/>
        <v>83.333333333333329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IFERROR(__xludf.DUMMYFUNCTION("IMPORTRANGE(""https://docs.google.com/spreadsheets/d/1XL5vhW3sbDhbH9Cz0tuDiY8C3ctxq1tqvaCgkFb8cCA/edit?usp=sharing"",""เลย!J509"")"),100)</f>
        <v>100</v>
      </c>
      <c r="K614" s="163">
        <f t="shared" ca="1" si="127"/>
        <v>83.333333333333329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IFERROR(__xludf.DUMMYFUNCTION("IMPORTRANGE(""https://docs.google.com/spreadsheets/d/1XL5vhW3sbDhbH9Cz0tuDiY8C3ctxq1tqvaCgkFb8cCA/edit?usp=sharing"",""เลย!J510"")"),100)</f>
        <v>100</v>
      </c>
      <c r="K615" s="163">
        <f t="shared" ca="1" si="127"/>
        <v>83.333333333333329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IFERROR(__xludf.DUMMYFUNCTION("IMPORTRANGE(""https://docs.google.com/spreadsheets/d/1XL5vhW3sbDhbH9Cz0tuDiY8C3ctxq1tqvaCgkFb8cCA/edit?usp=sharing"",""เลย!I523"")"),14378772.56)</f>
        <v>14378772.560000001</v>
      </c>
      <c r="J628" s="341">
        <f ca="1">IFERROR(__xludf.DUMMYFUNCTION("IMPORTRANGE(""https://docs.google.com/spreadsheets/d/1XL5vhW3sbDhbH9Cz0tuDiY8C3ctxq1tqvaCgkFb8cCA/edit?usp=sharing"",""เลย!J523"")"),12356874.04)</f>
        <v>12356874.039999999</v>
      </c>
      <c r="K628" s="342">
        <f t="shared" ref="K628:K635" ca="1" si="129">IF(I628&gt;0,J628*100/I628,0)</f>
        <v>85.93830932673157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IFERROR(__xludf.DUMMYFUNCTION("IMPORTRANGE(""https://docs.google.com/spreadsheets/d/1XL5vhW3sbDhbH9Cz0tuDiY8C3ctxq1tqvaCgkFb8cCA/edit?usp=sharing"",""เลย!I524"")"),302)</f>
        <v>302</v>
      </c>
      <c r="J629" s="341">
        <f ca="1">IFERROR(__xludf.DUMMYFUNCTION("IMPORTRANGE(""https://docs.google.com/spreadsheets/d/1XL5vhW3sbDhbH9Cz0tuDiY8C3ctxq1tqvaCgkFb8cCA/edit?usp=sharing"",""เลย!J524"")"),259)</f>
        <v>259</v>
      </c>
      <c r="K629" s="342">
        <f t="shared" ca="1" si="129"/>
        <v>85.761589403973517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IFERROR(__xludf.DUMMYFUNCTION("IMPORTRANGE(""https://docs.google.com/spreadsheets/d/1XL5vhW3sbDhbH9Cz0tuDiY8C3ctxq1tqvaCgkFb8cCA/edit?usp=sharing"",""เลย!I525"")"),18014555.35)</f>
        <v>18014555.350000001</v>
      </c>
      <c r="J630" s="341">
        <f ca="1">IFERROR(__xludf.DUMMYFUNCTION("IMPORTRANGE(""https://docs.google.com/spreadsheets/d/1XL5vhW3sbDhbH9Cz0tuDiY8C3ctxq1tqvaCgkFb8cCA/edit?usp=sharing"",""เลย!J525"")"),1795886.75)</f>
        <v>1795886.75</v>
      </c>
      <c r="K630" s="342">
        <f t="shared" ca="1" si="129"/>
        <v>9.9690873025073028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IFERROR(__xludf.DUMMYFUNCTION("IMPORTRANGE(""https://docs.google.com/spreadsheets/d/1XL5vhW3sbDhbH9Cz0tuDiY8C3ctxq1tqvaCgkFb8cCA/edit?usp=sharing"",""เลย!I526"")"),510)</f>
        <v>510</v>
      </c>
      <c r="J631" s="341">
        <f ca="1">IFERROR(__xludf.DUMMYFUNCTION("IMPORTRANGE(""https://docs.google.com/spreadsheets/d/1XL5vhW3sbDhbH9Cz0tuDiY8C3ctxq1tqvaCgkFb8cCA/edit?usp=sharing"",""เลย!J526"")"),209)</f>
        <v>209</v>
      </c>
      <c r="K631" s="342">
        <f t="shared" ca="1" si="129"/>
        <v>40.980392156862742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IFERROR(__xludf.DUMMYFUNCTION("IMPORTRANGE(""https://docs.google.com/spreadsheets/d/1XL5vhW3sbDhbH9Cz0tuDiY8C3ctxq1tqvaCgkFb8cCA/edit?usp=sharing"",""เลย!I527"")"),6149.25)</f>
        <v>6149.25</v>
      </c>
      <c r="J632" s="341">
        <f ca="1">IFERROR(__xludf.DUMMYFUNCTION("IMPORTRANGE(""https://docs.google.com/spreadsheets/d/1XL5vhW3sbDhbH9Cz0tuDiY8C3ctxq1tqvaCgkFb8cCA/edit?usp=sharing"",""เลย!J527"")"),5309.25)</f>
        <v>5309.25</v>
      </c>
      <c r="K632" s="342">
        <f t="shared" ca="1" si="129"/>
        <v>86.339797536284919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IFERROR(__xludf.DUMMYFUNCTION("IMPORTRANGE(""https://docs.google.com/spreadsheets/d/1XL5vhW3sbDhbH9Cz0tuDiY8C3ctxq1tqvaCgkFb8cCA/edit?usp=sharing"",""เลย!I528"")"),4)</f>
        <v>4</v>
      </c>
      <c r="J633" s="341">
        <f ca="1">IFERROR(__xludf.DUMMYFUNCTION("IMPORTRANGE(""https://docs.google.com/spreadsheets/d/1XL5vhW3sbDhbH9Cz0tuDiY8C3ctxq1tqvaCgkFb8cCA/edit?usp=sharing"",""เลย!J528"")"),3)</f>
        <v>3</v>
      </c>
      <c r="K633" s="342">
        <f t="shared" ca="1" si="129"/>
        <v>75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IFERROR(__xludf.DUMMYFUNCTION("IMPORTRANGE(""https://docs.google.com/spreadsheets/d/1XL5vhW3sbDhbH9Cz0tuDiY8C3ctxq1tqvaCgkFb8cCA/edit?usp=sharing"",""เลย!I529"")"),12000000)</f>
        <v>12000000</v>
      </c>
      <c r="J634" s="341">
        <f ca="1">IFERROR(__xludf.DUMMYFUNCTION("IMPORTRANGE(""https://docs.google.com/spreadsheets/d/1XL5vhW3sbDhbH9Cz0tuDiY8C3ctxq1tqvaCgkFb8cCA/edit?usp=sharing"",""เลย!J529"")"),11900000)</f>
        <v>11900000</v>
      </c>
      <c r="K634" s="342">
        <f t="shared" ca="1" si="129"/>
        <v>99.166666666666671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IFERROR(__xludf.DUMMYFUNCTION("IMPORTRANGE(""https://docs.google.com/spreadsheets/d/1XL5vhW3sbDhbH9Cz0tuDiY8C3ctxq1tqvaCgkFb8cCA/edit?usp=sharing"",""เลย!I530"")"),250)</f>
        <v>250</v>
      </c>
      <c r="J635" s="504">
        <f ca="1">IFERROR(__xludf.DUMMYFUNCTION("IMPORTRANGE(""https://docs.google.com/spreadsheets/d/1XL5vhW3sbDhbH9Cz0tuDiY8C3ctxq1tqvaCgkFb8cCA/edit?usp=sharing"",""เลย!J530"")"),238)</f>
        <v>238</v>
      </c>
      <c r="K635" s="486">
        <f t="shared" ca="1" si="129"/>
        <v>95.2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IFERROR(__xludf.DUMMYFUNCTION("IMPORTRANGE(""https://docs.google.com/spreadsheets/d/1XL5vhW3sbDhbH9Cz0tuDiY8C3ctxq1tqvaCgkFb8cCA/edit#gid=346597447"",""เลย!J541"")"),0)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IFERROR(__xludf.DUMMYFUNCTION("IMPORTRANGE(""https://docs.google.com/spreadsheets/d/1XL5vhW3sbDhbH9Cz0tuDiY8C3ctxq1tqvaCgkFb8cCA/edit#gid=346597447"",""เลย!J542"")"),0)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IFERROR(__xludf.DUMMYFUNCTION("IMPORTRANGE(""https://docs.google.com/spreadsheets/d/1XL5vhW3sbDhbH9Cz0tuDiY8C3ctxq1tqvaCgkFb8cCA/edit#gid=346597447"",""เลย!I543"")"),0)</f>
        <v>0</v>
      </c>
      <c r="J648" s="585">
        <f ca="1">IFERROR(__xludf.DUMMYFUNCTION("IMPORTRANGE(""https://docs.google.com/spreadsheets/d/1XL5vhW3sbDhbH9Cz0tuDiY8C3ctxq1tqvaCgkFb8cCA/edit#gid=346597447"",""เลย!J543"")"),0)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IFERROR(__xludf.DUMMYFUNCTION("IMPORTRANGE(""https://docs.google.com/spreadsheets/d/1XL5vhW3sbDhbH9Cz0tuDiY8C3ctxq1tqvaCgkFb8cCA/edit#gid=346597447"",""เลย!L543"")"),0)</f>
        <v>0</v>
      </c>
      <c r="M648" s="570"/>
      <c r="N648" s="587">
        <f ca="1">IFERROR(__xludf.DUMMYFUNCTION("IMPORTRANGE(""https://docs.google.com/spreadsheets/d/1XL5vhW3sbDhbH9Cz0tuDiY8C3ctxq1tqvaCgkFb8cCA/edit#gid=346597447"",""เลย!M543"")"),0)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IFERROR(__xludf.DUMMYFUNCTION("IMPORTRANGE(""https://docs.google.com/spreadsheets/d/1XL5vhW3sbDhbH9Cz0tuDiY8C3ctxq1tqvaCgkFb8cCA/edit#gid=346597447"",""เลย!I544"")"),0)</f>
        <v>0</v>
      </c>
      <c r="J649" s="585">
        <f ca="1">IFERROR(__xludf.DUMMYFUNCTION("IMPORTRANGE(""https://docs.google.com/spreadsheets/d/1XL5vhW3sbDhbH9Cz0tuDiY8C3ctxq1tqvaCgkFb8cCA/edit#gid=346597447"",""เลย!J544"")"),0)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IFERROR(__xludf.DUMMYFUNCTION("IMPORTRANGE(""https://docs.google.com/spreadsheets/d/1XL5vhW3sbDhbH9Cz0tuDiY8C3ctxq1tqvaCgkFb8cCA/edit#gid=346597447"",""เลย!L544"")"),0)</f>
        <v>0</v>
      </c>
      <c r="M649" s="570"/>
      <c r="N649" s="587">
        <f ca="1">IFERROR(__xludf.DUMMYFUNCTION("IMPORTRANGE(""https://docs.google.com/spreadsheets/d/1XL5vhW3sbDhbH9Cz0tuDiY8C3ctxq1tqvaCgkFb8cCA/edit#gid=346597447"",""เลย!M544"")"),0)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IFERROR(__xludf.DUMMYFUNCTION("IMPORTRANGE(""https://docs.google.com/spreadsheets/d/1XL5vhW3sbDhbH9Cz0tuDiY8C3ctxq1tqvaCgkFb8cCA/edit#gid=346597447"",""เลย!I545"")"),0)</f>
        <v>0</v>
      </c>
      <c r="J650" s="585">
        <f ca="1">IFERROR(__xludf.DUMMYFUNCTION("IMPORTRANGE(""https://docs.google.com/spreadsheets/d/1XL5vhW3sbDhbH9Cz0tuDiY8C3ctxq1tqvaCgkFb8cCA/edit#gid=346597447"",""เลย!J545"")"),0)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IFERROR(__xludf.DUMMYFUNCTION("IMPORTRANGE(""https://docs.google.com/spreadsheets/d/1XL5vhW3sbDhbH9Cz0tuDiY8C3ctxq1tqvaCgkFb8cCA/edit#gid=346597447"",""เลย!L545"")"),0)</f>
        <v>0</v>
      </c>
      <c r="M650" s="570"/>
      <c r="N650" s="587">
        <f ca="1">IFERROR(__xludf.DUMMYFUNCTION("IMPORTRANGE(""https://docs.google.com/spreadsheets/d/1XL5vhW3sbDhbH9Cz0tuDiY8C3ctxq1tqvaCgkFb8cCA/edit#gid=346597447"",""เลย!M545"")"),0)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IFERROR(__xludf.DUMMYFUNCTION("IMPORTRANGE(""https://docs.google.com/spreadsheets/d/1XL5vhW3sbDhbH9Cz0tuDiY8C3ctxq1tqvaCgkFb8cCA/edit#gid=346597447"",""เลย!I546"")"),0)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IFERROR(__xludf.DUMMYFUNCTION("IMPORTRANGE(""https://docs.google.com/spreadsheets/d/1XL5vhW3sbDhbH9Cz0tuDiY8C3ctxq1tqvaCgkFb8cCA/edit#gid=346597447"",""เลย!L546"")"),0)</f>
        <v>0</v>
      </c>
      <c r="M651" s="570"/>
      <c r="N651" s="587">
        <f ca="1">IFERROR(__xludf.DUMMYFUNCTION("IMPORTRANGE(""https://docs.google.com/spreadsheets/d/1XL5vhW3sbDhbH9Cz0tuDiY8C3ctxq1tqvaCgkFb8cCA/edit#gid=346597447"",""เลย!M546"")"),0)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IFERROR(__xludf.DUMMYFUNCTION("IMPORTRANGE(""https://docs.google.com/spreadsheets/d/1XL5vhW3sbDhbH9Cz0tuDiY8C3ctxq1tqvaCgkFb8cCA/edit#gid=346597447"",""เลย!J547"")"),0)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IFERROR(__xludf.DUMMYFUNCTION("IMPORTRANGE(""https://docs.google.com/spreadsheets/d/1XL5vhW3sbDhbH9Cz0tuDiY8C3ctxq1tqvaCgkFb8cCA/edit#gid=346597447"",""เลย!J548"")"),0)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IFERROR(__xludf.DUMMYFUNCTION("IMPORTRANGE(""https://docs.google.com/spreadsheets/d/1XL5vhW3sbDhbH9Cz0tuDiY8C3ctxq1tqvaCgkFb8cCA/edit#gid=346597447"",""เลย!J550"")"),0)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IFERROR(__xludf.DUMMYFUNCTION("IMPORTRANGE(""https://docs.google.com/spreadsheets/d/1XL5vhW3sbDhbH9Cz0tuDiY8C3ctxq1tqvaCgkFb8cCA/edit#gid=346597447"",""เลย!J551"")"),0)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IFERROR(__xludf.DUMMYFUNCTION("IMPORTRANGE(""https://docs.google.com/spreadsheets/d/1XL5vhW3sbDhbH9Cz0tuDiY8C3ctxq1tqvaCgkFb8cCA/edit#gid=346597447"",""เลย!J552"")"),0)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IFERROR(__xludf.DUMMYFUNCTION("IMPORTRANGE(""https://docs.google.com/spreadsheets/d/1XL5vhW3sbDhbH9Cz0tuDiY8C3ctxq1tqvaCgkFb8cCA/edit#gid=346597447"",""เลย!J553"")"),0)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IFERROR(__xludf.DUMMYFUNCTION("IMPORTRANGE(""https://docs.google.com/spreadsheets/d/1XL5vhW3sbDhbH9Cz0tuDiY8C3ctxq1tqvaCgkFb8cCA/edit#gid=346597447"",""เลย!J554"")"),0)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IFERROR(__xludf.DUMMYFUNCTION("IMPORTRANGE(""https://docs.google.com/spreadsheets/d/1XL5vhW3sbDhbH9Cz0tuDiY8C3ctxq1tqvaCgkFb8cCA/edit#gid=346597447"",""เลย!J555"")"),0)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IFERROR(__xludf.DUMMYFUNCTION("IMPORTRANGE(""https://docs.google.com/spreadsheets/d/1XL5vhW3sbDhbH9Cz0tuDiY8C3ctxq1tqvaCgkFb8cCA/edit#gid=346597447"",""เลย!J556"")"),0)</f>
        <v>0</v>
      </c>
      <c r="K661" s="586"/>
      <c r="L661" s="571">
        <f ca="1">IFERROR(__xludf.DUMMYFUNCTION("IMPORTRANGE(""https://docs.google.com/spreadsheets/d/1XL5vhW3sbDhbH9Cz0tuDiY8C3ctxq1tqvaCgkFb8cCA/edit#gid=346597447"",""เลย!L556"")"),0)</f>
        <v>0</v>
      </c>
      <c r="M661" s="570"/>
      <c r="N661" s="587">
        <f ca="1">IFERROR(__xludf.DUMMYFUNCTION("IMPORTRANGE(""https://docs.google.com/spreadsheets/d/1XL5vhW3sbDhbH9Cz0tuDiY8C3ctxq1tqvaCgkFb8cCA/edit#gid=346597447"",""เลย!M556"")"),0)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IFERROR(__xludf.DUMMYFUNCTION("IMPORTRANGE(""https://docs.google.com/spreadsheets/d/1XL5vhW3sbDhbH9Cz0tuDiY8C3ctxq1tqvaCgkFb8cCA/edit#gid=346597447"",""เลย!J557"")"),0)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IFERROR(__xludf.DUMMYFUNCTION("IMPORTRANGE(""https://docs.google.com/spreadsheets/d/1XL5vhW3sbDhbH9Cz0tuDiY8C3ctxq1tqvaCgkFb8cCA/edit#gid=346597447"",""เลย!I558"")"),0)</f>
        <v>0</v>
      </c>
      <c r="J663" s="585">
        <f ca="1">IFERROR(__xludf.DUMMYFUNCTION("IMPORTRANGE(""https://docs.google.com/spreadsheets/d/1XL5vhW3sbDhbH9Cz0tuDiY8C3ctxq1tqvaCgkFb8cCA/edit#gid=346597447"",""เลย!J558"")"),0)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IFERROR(__xludf.DUMMYFUNCTION("IMPORTRANGE(""https://docs.google.com/spreadsheets/d/1XL5vhW3sbDhbH9Cz0tuDiY8C3ctxq1tqvaCgkFb8cCA/edit#gid=346597447"",""เลย!I560"")"),0)</f>
        <v>0</v>
      </c>
      <c r="J665" s="585">
        <f ca="1">IFERROR(__xludf.DUMMYFUNCTION("IMPORTRANGE(""https://docs.google.com/spreadsheets/d/1XL5vhW3sbDhbH9Cz0tuDiY8C3ctxq1tqvaCgkFb8cCA/edit#gid=346597447"",""เลย!J560"")"),0)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IFERROR(__xludf.DUMMYFUNCTION("IMPORTRANGE(""https://docs.google.com/spreadsheets/d/1XL5vhW3sbDhbH9Cz0tuDiY8C3ctxq1tqvaCgkFb8cCA/edit#gid=346597447"",""เลย!L560"")"),0)</f>
        <v>0</v>
      </c>
      <c r="M665" s="570"/>
      <c r="N665" s="587">
        <f ca="1">IFERROR(__xludf.DUMMYFUNCTION("IMPORTRANGE(""https://docs.google.com/spreadsheets/d/1XL5vhW3sbDhbH9Cz0tuDiY8C3ctxq1tqvaCgkFb8cCA/edit#gid=346597447"",""เลย!M560"")"),0)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IFERROR(__xludf.DUMMYFUNCTION("IMPORTRANGE(""https://docs.google.com/spreadsheets/d/1XL5vhW3sbDhbH9Cz0tuDiY8C3ctxq1tqvaCgkFb8cCA/edit#gid=346597447"",""เลย!J561"")"),0)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IFERROR(__xludf.DUMMYFUNCTION("IMPORTRANGE(""https://docs.google.com/spreadsheets/d/1XL5vhW3sbDhbH9Cz0tuDiY8C3ctxq1tqvaCgkFb8cCA/edit#gid=346597447"",""เลย!J562"")"),0)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IFERROR(__xludf.DUMMYFUNCTION("IMPORTRANGE(""https://docs.google.com/spreadsheets/d/1XL5vhW3sbDhbH9Cz0tuDiY8C3ctxq1tqvaCgkFb8cCA/edit#gid=346597447"",""เลย!I563"")"),0)</f>
        <v>0</v>
      </c>
      <c r="J668" s="585">
        <f ca="1">IFERROR(__xludf.DUMMYFUNCTION("IMPORTRANGE(""https://docs.google.com/spreadsheets/d/1XL5vhW3sbDhbH9Cz0tuDiY8C3ctxq1tqvaCgkFb8cCA/edit#gid=346597447"",""เลย!J563"")"),0)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IFERROR(__xludf.DUMMYFUNCTION("IMPORTRANGE(""https://docs.google.com/spreadsheets/d/1XL5vhW3sbDhbH9Cz0tuDiY8C3ctxq1tqvaCgkFb8cCA/edit#gid=346597447"",""เลย!L563"")"),0)</f>
        <v>0</v>
      </c>
      <c r="M668" s="570"/>
      <c r="N668" s="587">
        <f ca="1">IFERROR(__xludf.DUMMYFUNCTION("IMPORTRANGE(""https://docs.google.com/spreadsheets/d/1XL5vhW3sbDhbH9Cz0tuDiY8C3ctxq1tqvaCgkFb8cCA/edit#gid=346597447"",""เลย!M563"")"),0)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IFERROR(__xludf.DUMMYFUNCTION("IMPORTRANGE(""https://docs.google.com/spreadsheets/d/1XL5vhW3sbDhbH9Cz0tuDiY8C3ctxq1tqvaCgkFb8cCA/edit#gid=346597447"",""เลย!J564"")"),0)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IFERROR(__xludf.DUMMYFUNCTION("IMPORTRANGE(""https://docs.google.com/spreadsheets/d/1XL5vhW3sbDhbH9Cz0tuDiY8C3ctxq1tqvaCgkFb8cCA/edit#gid=346597447"",""เลย!J565"")"),0)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IFERROR(__xludf.DUMMYFUNCTION("IMPORTRANGE(""https://docs.google.com/spreadsheets/d/1XL5vhW3sbDhbH9Cz0tuDiY8C3ctxq1tqvaCgkFb8cCA/edit#gid=346597447"",""เลย!I566"")"),0)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IFERROR(__xludf.DUMMYFUNCTION("IMPORTRANGE(""https://docs.google.com/spreadsheets/d/1XL5vhW3sbDhbH9Cz0tuDiY8C3ctxq1tqvaCgkFb8cCA/edit#gid=346597447"",""เลย!L566"")"),0)</f>
        <v>0</v>
      </c>
      <c r="M671" s="570"/>
      <c r="N671" s="587">
        <f ca="1">IFERROR(__xludf.DUMMYFUNCTION("IMPORTRANGE(""https://docs.google.com/spreadsheets/d/1XL5vhW3sbDhbH9Cz0tuDiY8C3ctxq1tqvaCgkFb8cCA/edit#gid=346597447"",""เลย!M566"")"),0)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IFERROR(__xludf.DUMMYFUNCTION("IMPORTRANGE(""https://docs.google.com/spreadsheets/d/1XL5vhW3sbDhbH9Cz0tuDiY8C3ctxq1tqvaCgkFb8cCA/edit#gid=346597447"",""เลย!J567"")"),0)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IFERROR(__xludf.DUMMYFUNCTION("IMPORTRANGE(""https://docs.google.com/spreadsheets/d/1XL5vhW3sbDhbH9Cz0tuDiY8C3ctxq1tqvaCgkFb8cCA/edit#gid=346597447"",""เลย!J568"")"),0)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IFERROR(__xludf.DUMMYFUNCTION("IMPORTRANGE(""https://docs.google.com/spreadsheets/d/1XL5vhW3sbDhbH9Cz0tuDiY8C3ctxq1tqvaCgkFb8cCA/edit#gid=346597447"",""เลย!J569"")"),0)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IFERROR(__xludf.DUMMYFUNCTION("IMPORTRANGE(""https://docs.google.com/spreadsheets/d/1XL5vhW3sbDhbH9Cz0tuDiY8C3ctxq1tqvaCgkFb8cCA/edit#gid=346597447"",""เลย!J570"")"),0)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IFERROR(__xludf.DUMMYFUNCTION("IMPORTRANGE(""https://docs.google.com/spreadsheets/d/1XL5vhW3sbDhbH9Cz0tuDiY8C3ctxq1tqvaCgkFb8cCA/edit#gid=346597447"",""เลย!J571"")"),0)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IFERROR(__xludf.DUMMYFUNCTION("IMPORTRANGE(""https://docs.google.com/spreadsheets/d/1XL5vhW3sbDhbH9Cz0tuDiY8C3ctxq1tqvaCgkFb8cCA/edit#gid=346597447"",""เลย!J572"")"),0)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I275" sqref="I275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85546875" customWidth="1"/>
    <col min="8" max="8" width="10.85546875" customWidth="1"/>
    <col min="9" max="9" width="16.5703125" bestFit="1" customWidth="1"/>
    <col min="10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8662716</v>
      </c>
      <c r="M8" s="23">
        <f t="shared" ca="1" si="0"/>
        <v>4726644</v>
      </c>
      <c r="N8" s="23">
        <f t="shared" ca="1" si="0"/>
        <v>4807394.1499999985</v>
      </c>
      <c r="O8" s="22">
        <f t="shared" ref="O8:O16" ca="1" si="1">IF(L8&gt;0,N8*100/L8,0)</f>
        <v>55.495229787055223</v>
      </c>
      <c r="P8" s="22">
        <f t="shared" ref="P8:P16" ca="1" si="2">IF(M8&gt;0,N8*100/M8,0)</f>
        <v>101.70840346766117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8662716</v>
      </c>
      <c r="M10" s="30">
        <f t="shared" ca="1" si="4"/>
        <v>4726644</v>
      </c>
      <c r="N10" s="30">
        <f t="shared" ca="1" si="4"/>
        <v>4807394.1499999985</v>
      </c>
      <c r="O10" s="29">
        <f t="shared" ca="1" si="1"/>
        <v>55.495229787055223</v>
      </c>
      <c r="P10" s="29">
        <f t="shared" ca="1" si="2"/>
        <v>101.70840346766117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7725716</v>
      </c>
      <c r="M12" s="38">
        <f t="shared" ca="1" si="6"/>
        <v>3789644</v>
      </c>
      <c r="N12" s="38">
        <f t="shared" ca="1" si="6"/>
        <v>3870394.1499999985</v>
      </c>
      <c r="O12" s="38">
        <f t="shared" ca="1" si="1"/>
        <v>50.097546298621367</v>
      </c>
      <c r="P12" s="38">
        <f t="shared" ca="1" si="2"/>
        <v>102.13081096799591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2353500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5372216</v>
      </c>
      <c r="M14" s="38">
        <f t="shared" si="8"/>
        <v>0</v>
      </c>
      <c r="N14" s="38">
        <f t="shared" ca="1" si="8"/>
        <v>1339595.3499999987</v>
      </c>
      <c r="O14" s="38">
        <f t="shared" ca="1" si="1"/>
        <v>24.935619677243036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937000</v>
      </c>
      <c r="M16" s="38">
        <f t="shared" ca="1" si="10"/>
        <v>937000</v>
      </c>
      <c r="N16" s="38">
        <f t="shared" ca="1" si="10"/>
        <v>937000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5482895</v>
      </c>
      <c r="M18" s="23">
        <f t="shared" ca="1" si="11"/>
        <v>4726644</v>
      </c>
      <c r="N18" s="23">
        <f t="shared" ca="1" si="11"/>
        <v>3467798.8</v>
      </c>
      <c r="O18" s="22">
        <f t="shared" ref="O18:O20" ca="1" si="12">IF(L18&gt;0,N18*100/L18,0)</f>
        <v>63.247587269134279</v>
      </c>
      <c r="P18" s="22">
        <f t="shared" ref="P18:P26" ca="1" si="13">IF(M18&gt;0,N18*100/M18,0)</f>
        <v>73.367040124028804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5482895</v>
      </c>
      <c r="M20" s="30">
        <f t="shared" ca="1" si="15"/>
        <v>4726644</v>
      </c>
      <c r="N20" s="30">
        <f t="shared" ca="1" si="15"/>
        <v>3467798.8</v>
      </c>
      <c r="O20" s="29">
        <f t="shared" ca="1" si="12"/>
        <v>63.247587269134279</v>
      </c>
      <c r="P20" s="29">
        <f t="shared" ca="1" si="13"/>
        <v>73.367040124028804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4545895</v>
      </c>
      <c r="M22" s="41">
        <f t="shared" ca="1" si="18"/>
        <v>3789644</v>
      </c>
      <c r="N22" s="38">
        <f t="shared" ca="1" si="18"/>
        <v>2530798.7999999998</v>
      </c>
      <c r="O22" s="38">
        <f t="shared" ca="1" si="17"/>
        <v>55.672178965858201</v>
      </c>
      <c r="P22" s="38">
        <f t="shared" ca="1" si="13"/>
        <v>66.781966854934126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2353500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2192395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937000</v>
      </c>
      <c r="M26" s="49">
        <f t="shared" ca="1" si="22"/>
        <v>937000</v>
      </c>
      <c r="N26" s="49">
        <f t="shared" ca="1" si="22"/>
        <v>937000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3179821</v>
      </c>
      <c r="M28" s="23">
        <f t="shared" si="23"/>
        <v>0</v>
      </c>
      <c r="N28" s="23">
        <f t="shared" ca="1" si="23"/>
        <v>1339595.3499999987</v>
      </c>
      <c r="O28" s="22">
        <f t="shared" ref="O28:O30" ca="1" si="24">IF(L28&gt;0,N28*100/L28,0)</f>
        <v>42.128011293717435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3179821</v>
      </c>
      <c r="M30" s="30">
        <f t="shared" si="27"/>
        <v>0</v>
      </c>
      <c r="N30" s="30">
        <f t="shared" ca="1" si="27"/>
        <v>1339595.3499999987</v>
      </c>
      <c r="O30" s="29">
        <f t="shared" ca="1" si="24"/>
        <v>42.128011293717435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3179821</v>
      </c>
      <c r="M32" s="38">
        <f t="shared" si="30"/>
        <v>0</v>
      </c>
      <c r="N32" s="38">
        <f t="shared" ca="1" si="30"/>
        <v>1339595.3499999987</v>
      </c>
      <c r="O32" s="38">
        <f t="shared" ca="1" si="29"/>
        <v>42.128011293717435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3179821</v>
      </c>
      <c r="M34" s="38">
        <f t="shared" si="32"/>
        <v>0</v>
      </c>
      <c r="N34" s="38">
        <f t="shared" ca="1" si="32"/>
        <v>1339595.3499999987</v>
      </c>
      <c r="O34" s="38">
        <f t="shared" ca="1" si="29"/>
        <v>42.128011293717435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5482895</v>
      </c>
      <c r="M37" s="54">
        <f t="shared" ca="1" si="33"/>
        <v>4726644</v>
      </c>
      <c r="N37" s="54">
        <f t="shared" ca="1" si="33"/>
        <v>3467798.8</v>
      </c>
      <c r="O37" s="55">
        <f t="shared" ca="1" si="29"/>
        <v>63.247587269134279</v>
      </c>
      <c r="P37" s="55">
        <f t="shared" ca="1" si="25"/>
        <v>73.367040124028804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1754100</v>
      </c>
      <c r="M41" s="78">
        <f t="shared" ca="1" si="34"/>
        <v>1545600</v>
      </c>
      <c r="N41" s="78">
        <f t="shared" ca="1" si="34"/>
        <v>1433722.4</v>
      </c>
      <c r="O41" s="77">
        <f t="shared" ref="O41:O43" ca="1" si="35">IF(L41&gt;0,N41*100/L41,0)</f>
        <v>81.73549968644889</v>
      </c>
      <c r="P41" s="77">
        <f t="shared" ref="P41:P43" ca="1" si="36">IF(M41&gt;0,N41*100/M41,0)</f>
        <v>92.761542443064187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1754100</v>
      </c>
      <c r="M43" s="78">
        <f t="shared" ca="1" si="38"/>
        <v>1545600</v>
      </c>
      <c r="N43" s="78">
        <f t="shared" ca="1" si="38"/>
        <v>1433722.4</v>
      </c>
      <c r="O43" s="77">
        <f t="shared" ca="1" si="35"/>
        <v>81.73549968644889</v>
      </c>
      <c r="P43" s="77">
        <f t="shared" ca="1" si="36"/>
        <v>92.761542443064187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622">
        <f ca="1">IFERROR(__xludf.DUMMYFUNCTION("IMPORTRANGE(""https://docs.google.com/spreadsheets/d/1Yj_ptqi66GCucihVvJfMjLAmec39IyEx_6qawtMGysU/edit?usp=sharing"",""สบก!Q50"")"),625600)</f>
        <v>625600</v>
      </c>
      <c r="N45" s="622">
        <f ca="1">IFERROR(__xludf.DUMMYFUNCTION("IMPORTRANGE(""https://docs.google.com/spreadsheets/d/1Yj_ptqi66GCucihVvJfMjLAmec39IyEx_6qawtMGysU/edit?usp=sharing"",""สบก!R50"")"),513722.4)</f>
        <v>513722.4</v>
      </c>
      <c r="O45" s="623">
        <f ca="1">IF(L45&gt;0,N45*100/L45,0)</f>
        <v>61.590025176837308</v>
      </c>
      <c r="P45" s="623">
        <f ca="1">IF(M45&gt;0,N45*100/M45,0)</f>
        <v>82.11675191815857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IFERROR(__xludf.DUMMYFUNCTION("IMPORTRANGE(""https://docs.google.com/spreadsheets/d/1Yj_ptqi66GCucihVvJfMjLAmec39IyEx_6qawtMGysU/edit?usp=sharing"",""สบก!M50"")"),834100)</f>
        <v>834100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IFERROR(__xludf.DUMMYFUNCTION("IMPORTRANGE(""https://docs.google.com/spreadsheets/d/1Yj_ptqi66GCucihVvJfMjLAmec39IyEx_6qawtMGysU/edit?usp=sharing"",""สบก!N50"")"),0)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IFERROR(__xludf.DUMMYFUNCTION("IMPORTRANGE(""https://docs.google.com/spreadsheets/d/1Yj_ptqi66GCucihVvJfMjLAmec39IyEx_6qawtMGysU/edit?usp=sharing"",""สบก!O50"")"),920000)</f>
        <v>920000</v>
      </c>
      <c r="M49" s="625">
        <f ca="1">L49</f>
        <v>920000</v>
      </c>
      <c r="N49" s="622">
        <f ca="1">IFERROR(__xludf.DUMMYFUNCTION("IMPORTRANGE(""https://docs.google.com/spreadsheets/d/1Yj_ptqi66GCucihVvJfMjLAmec39IyEx_6qawtMGysU/edit?usp=sharing"",""สบก!S50"")"),920000)</f>
        <v>920000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687600</v>
      </c>
      <c r="M53" s="121">
        <f t="shared" ca="1" si="39"/>
        <v>543564</v>
      </c>
      <c r="N53" s="121">
        <f t="shared" ca="1" si="39"/>
        <v>473914.96</v>
      </c>
      <c r="O53" s="120">
        <f t="shared" ref="O53:O55" ca="1" si="40">IF(L53&gt;0,N53*100/L53,0)</f>
        <v>68.9230599185573</v>
      </c>
      <c r="P53" s="120">
        <f t="shared" ref="P53:P55" ca="1" si="41">IF(M53&gt;0,N53*100/M53,0)</f>
        <v>87.186598082286537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687600</v>
      </c>
      <c r="M55" s="121">
        <f t="shared" ca="1" si="43"/>
        <v>543564</v>
      </c>
      <c r="N55" s="121">
        <f t="shared" ca="1" si="43"/>
        <v>473914.96</v>
      </c>
      <c r="O55" s="120">
        <f t="shared" ca="1" si="40"/>
        <v>68.9230599185573</v>
      </c>
      <c r="P55" s="120">
        <f t="shared" ca="1" si="41"/>
        <v>87.186598082286537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687600</v>
      </c>
      <c r="M57" s="622">
        <f ca="1">IFERROR(__xludf.DUMMYFUNCTION("IMPORTRANGE(""https://docs.google.com/spreadsheets/d/1Yj_ptqi66GCucihVvJfMjLAmec39IyEx_6qawtMGysU/edit?usp=sharing"",""สบก!Z50"")"),543564)</f>
        <v>543564</v>
      </c>
      <c r="N57" s="622">
        <f ca="1">IFERROR(__xludf.DUMMYFUNCTION("IMPORTRANGE(""https://docs.google.com/spreadsheets/d/1Yj_ptqi66GCucihVvJfMjLAmec39IyEx_6qawtMGysU/edit?usp=sharing"",""สบก!AA50"")"),473914.96)</f>
        <v>473914.96</v>
      </c>
      <c r="O57" s="623">
        <f ca="1">IF(L57&gt;0,N57*100/L57,0)</f>
        <v>68.9230599185573</v>
      </c>
      <c r="P57" s="623">
        <f ca="1">IF(M57&gt;0,N57*100/M57,0)</f>
        <v>87.186598082286537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IFERROR(__xludf.DUMMYFUNCTION("IMPORTRANGE(""https://docs.google.com/spreadsheets/d/1Yj_ptqi66GCucihVvJfMjLAmec39IyEx_6qawtMGysU/edit?usp=sharing"",""สบก!V50"")"),687600)</f>
        <v>687600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IFERROR(__xludf.DUMMYFUNCTION("IMPORTRANGE(""https://docs.google.com/spreadsheets/d/1Yj_ptqi66GCucihVvJfMjLAmec39IyEx_6qawtMGysU/edit?usp=sharing"",""สบก!W50"")"),0)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IFERROR(__xludf.DUMMYFUNCTION("IMPORTRANGE(""https://docs.google.com/spreadsheets/d/1Yj_ptqi66GCucihVvJfMjLAmec39IyEx_6qawtMGysU/edit?usp=sharing"",""สบก!X50"")"),0)</f>
        <v>0</v>
      </c>
      <c r="M61" s="625"/>
      <c r="N61" s="622">
        <f ca="1">IFERROR(__xludf.DUMMYFUNCTION("IMPORTRANGE(""https://docs.google.com/spreadsheets/d/1Yj_ptqi66GCucihVvJfMjLAmec39IyEx_6qawtMGysU/edit?usp=sharing"",""สบก!AB50"")"),0)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926600</v>
      </c>
      <c r="M66" s="152">
        <f t="shared" ca="1" si="45"/>
        <v>850320</v>
      </c>
      <c r="N66" s="152">
        <f t="shared" ca="1" si="45"/>
        <v>536559.6</v>
      </c>
      <c r="O66" s="151">
        <f t="shared" ref="O66:O68" ca="1" si="46">IF(L66&gt;0,N66*100/L66,0)</f>
        <v>57.906281027412042</v>
      </c>
      <c r="P66" s="151">
        <f t="shared" ref="P66:P68" ca="1" si="47">IF(M66&gt;0,N66*100/M66,0)</f>
        <v>63.100903189387523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926600</v>
      </c>
      <c r="M68" s="157">
        <f t="shared" ca="1" si="49"/>
        <v>850320</v>
      </c>
      <c r="N68" s="157">
        <f t="shared" ca="1" si="49"/>
        <v>536559.6</v>
      </c>
      <c r="O68" s="156">
        <f t="shared" ca="1" si="46"/>
        <v>57.906281027412042</v>
      </c>
      <c r="P68" s="156">
        <f t="shared" ca="1" si="47"/>
        <v>63.100903189387523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926600</v>
      </c>
      <c r="M70" s="626">
        <f ca="1">IFERROR(__xludf.DUMMYFUNCTION("IMPORTRANGE(""https://docs.google.com/spreadsheets/d/1Yj_ptqi66GCucihVvJfMjLAmec39IyEx_6qawtMGysU/edit?usp=sharing"",""สบก!AI50"")"),850320)</f>
        <v>850320</v>
      </c>
      <c r="N70" s="627">
        <f ca="1">IFERROR(__xludf.DUMMYFUNCTION("IMPORTRANGE(""https://docs.google.com/spreadsheets/d/1Yj_ptqi66GCucihVvJfMjLAmec39IyEx_6qawtMGysU/edit?usp=sharing"",""สบก!AJ50"")"),536559.6)</f>
        <v>536559.6</v>
      </c>
      <c r="O70" s="169">
        <f ca="1">IF(L70&gt;0,N70*100/L70,0)</f>
        <v>57.906281027412042</v>
      </c>
      <c r="P70" s="169">
        <f ca="1">IF(M70&gt;0,N70*100/M70,0)</f>
        <v>63.100903189387523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IFERROR(__xludf.DUMMYFUNCTION("IMPORTRANGE(""https://docs.google.com/spreadsheets/d/1Yj_ptqi66GCucihVvJfMjLAmec39IyEx_6qawtMGysU/edit?usp=sharing"",""สบก!AF50"")"),595200)</f>
        <v>595200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IFERROR(__xludf.DUMMYFUNCTION("IMPORTRANGE(""https://docs.google.com/spreadsheets/d/1Yj_ptqi66GCucihVvJfMjLAmec39IyEx_6qawtMGysU/edit?usp=sharing"",""สบก!AG50"")"),0)</f>
        <v>0</v>
      </c>
      <c r="M74" s="625"/>
      <c r="N74" s="622">
        <f ca="1">IFERROR(__xludf.DUMMYFUNCTION("IMPORTRANGE(""https://docs.google.com/spreadsheets/d/1Yj_ptqi66GCucihVvJfMjLAmec39IyEx_6qawtMGysU/edit?usp=sharing"",""สบก!AK50"")"),0)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IFERROR(__xludf.DUMMYFUNCTION("IMPORTRANGE(""https://docs.google.com/spreadsheets/d/1XL5vhW3sbDhbH9Cz0tuDiY8C3ctxq1tqvaCgkFb8cCA/edit?usp=sharing"",""ศรีสะเกษ!I28"")"),0)</f>
        <v>0</v>
      </c>
      <c r="J88" s="204">
        <f ca="1">IFERROR(__xludf.DUMMYFUNCTION("IMPORTRANGE(""https://docs.google.com/spreadsheets/d/1XL5vhW3sbDhbH9Cz0tuDiY8C3ctxq1tqvaCgkFb8cCA/edit?usp=sharing"",""ศรีสะเกษ!J28"")"),0)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IFERROR(__xludf.DUMMYFUNCTION("IMPORTRANGE(""https://docs.google.com/spreadsheets/d/1XL5vhW3sbDhbH9Cz0tuDiY8C3ctxq1tqvaCgkFb8cCA/edit?usp=sharing"",""ศรีสะเกษ!J30"")"),0)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IFERROR(__xludf.DUMMYFUNCTION("IMPORTRANGE(""https://docs.google.com/spreadsheets/d/1Yj_ptqi66GCucihVvJfMjLAmec39IyEx_6qawtMGysU/edit?usp=sharing"",""สบก!AR50"")"),0)</f>
        <v>0</v>
      </c>
      <c r="N98" s="627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IFERROR(__xludf.DUMMYFUNCTION("IMPORTRANGE(""https://docs.google.com/spreadsheets/d/1Yj_ptqi66GCucihVvJfMjLAmec39IyEx_6qawtMGysU/edit?usp=sharing"",""สบก!AP50"")"),0)</f>
        <v>0</v>
      </c>
      <c r="M102" s="625"/>
      <c r="N102" s="622">
        <f ca="1">IFERROR(__xludf.DUMMYFUNCTION("IMPORTRANGE(""https://docs.google.com/spreadsheets/d/1Yj_ptqi66GCucihVvJfMjLAmec39IyEx_6qawtMGysU/edit?usp=sharing"",""สบก!AT50"")"),0)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IFERROR(__xludf.DUMMYFUNCTION("IMPORTRANGE(""https://docs.google.com/spreadsheets/d/1XL5vhW3sbDhbH9Cz0tuDiY8C3ctxq1tqvaCgkFb8cCA/edit?usp=sharing"",""ศรีสะเกษ!J50"")"),0)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IFERROR(__xludf.DUMMYFUNCTION("IMPORTRANGE(""https://docs.google.com/spreadsheets/d/1Yj_ptqi66GCucihVvJfMjLAmec39IyEx_6qawtMGysU/edit?usp=sharing"",""สบก!BA50"")"),0)</f>
        <v>0</v>
      </c>
      <c r="N122" s="627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IFERROR(__xludf.DUMMYFUNCTION("IMPORTRANGE(""https://docs.google.com/spreadsheets/d/1Yj_ptqi66GCucihVvJfMjLAmec39IyEx_6qawtMGysU/edit?usp=sharing"",""สบก!AY50"")"),0)</f>
        <v>0</v>
      </c>
      <c r="M126" s="625"/>
      <c r="N126" s="622">
        <f ca="1">IFERROR(__xludf.DUMMYFUNCTION("IMPORTRANGE(""https://docs.google.com/spreadsheets/d/1Yj_ptqi66GCucihVvJfMjLAmec39IyEx_6qawtMGysU/edit?usp=sharing"",""สบก!BC50"")"),0)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285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IFERROR(__xludf.DUMMYFUNCTION("IMPORTRANGE(""https://docs.google.com/spreadsheets/d/1XL5vhW3sbDhbH9Cz0tuDiY8C3ctxq1tqvaCgkFb8cCA/edit?usp=sharing"",""ศรีสะเกษ!J65"")"),0)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IFERROR(__xludf.DUMMYFUNCTION("IMPORTRANGE(""https://docs.google.com/spreadsheets/d/1XL5vhW3sbDhbH9Cz0tuDiY8C3ctxq1tqvaCgkFb8cCA/edit?usp=sharing"",""ศรีสะเกษ!I68"")"),0)</f>
        <v>0</v>
      </c>
      <c r="J138" s="267">
        <f ca="1">IFERROR(__xludf.DUMMYFUNCTION("IMPORTRANGE(""https://docs.google.com/spreadsheets/d/1XL5vhW3sbDhbH9Cz0tuDiY8C3ctxq1tqvaCgkFb8cCA/edit?usp=sharing"",""ศรีสะเกษ!J68"")"),0)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86000</v>
      </c>
      <c r="M140" s="152">
        <f t="shared" ca="1" si="64"/>
        <v>79345</v>
      </c>
      <c r="N140" s="152">
        <f t="shared" ca="1" si="64"/>
        <v>67634</v>
      </c>
      <c r="O140" s="151">
        <f t="shared" ref="O140:O142" ca="1" si="65">IF(L140&gt;0,N140*100/L140,0)</f>
        <v>78.644186046511635</v>
      </c>
      <c r="P140" s="151">
        <f t="shared" ref="P140:P142" ca="1" si="66">IF(M140&gt;0,N140*100/M140,0)</f>
        <v>85.240405822673139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86000</v>
      </c>
      <c r="M142" s="157">
        <f t="shared" ca="1" si="68"/>
        <v>79345</v>
      </c>
      <c r="N142" s="157">
        <f t="shared" ca="1" si="68"/>
        <v>67634</v>
      </c>
      <c r="O142" s="156">
        <f t="shared" ca="1" si="65"/>
        <v>78.644186046511635</v>
      </c>
      <c r="P142" s="156">
        <f t="shared" ca="1" si="66"/>
        <v>85.240405822673139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86000</v>
      </c>
      <c r="M144" s="626">
        <f ca="1">IFERROR(__xludf.DUMMYFUNCTION("IMPORTRANGE(""https://docs.google.com/spreadsheets/d/1Yj_ptqi66GCucihVvJfMjLAmec39IyEx_6qawtMGysU/edit?usp=sharing"",""สบก!BJ50"")"),79345)</f>
        <v>79345</v>
      </c>
      <c r="N144" s="627">
        <f ca="1">IFERROR(__xludf.DUMMYFUNCTION("IMPORTRANGE(""https://docs.google.com/spreadsheets/d/1Yj_ptqi66GCucihVvJfMjLAmec39IyEx_6qawtMGysU/edit?usp=sharing"",""สบก!BK50"")"),67634)</f>
        <v>67634</v>
      </c>
      <c r="O144" s="169">
        <f ca="1">IF(L144&gt;0,N144*100/L144,0)</f>
        <v>78.644186046511635</v>
      </c>
      <c r="P144" s="169">
        <f ca="1">IF(M144&gt;0,N144*100/M144,0)</f>
        <v>85.240405822673139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IFERROR(__xludf.DUMMYFUNCTION("IMPORTRANGE(""https://docs.google.com/spreadsheets/d/1Yj_ptqi66GCucihVvJfMjLAmec39IyEx_6qawtMGysU/edit?usp=sharing"",""สบก!BG50"")"),86000)</f>
        <v>86000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IFERROR(__xludf.DUMMYFUNCTION("IMPORTRANGE(""https://docs.google.com/spreadsheets/d/1Yj_ptqi66GCucihVvJfMjLAmec39IyEx_6qawtMGysU/edit?usp=sharing"",""สบก!BH50"")"),0)</f>
        <v>0</v>
      </c>
      <c r="M148" s="625"/>
      <c r="N148" s="622">
        <f ca="1">IFERROR(__xludf.DUMMYFUNCTION("IMPORTRANGE(""https://docs.google.com/spreadsheets/d/1Yj_ptqi66GCucihVvJfMjLAmec39IyEx_6qawtMGysU/edit?usp=sharing"",""สบก!BL50"")"),0)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IFERROR(__xludf.DUMMYFUNCTION("IMPORTRANGE(""https://docs.google.com/spreadsheets/d/1XL5vhW3sbDhbH9Cz0tuDiY8C3ctxq1tqvaCgkFb8cCA/edit?usp=sharing"",""ศรีสะเกษ!I74"")"),4)</f>
        <v>4</v>
      </c>
      <c r="J149" s="275">
        <f ca="1">IFERROR(__xludf.DUMMYFUNCTION("IMPORTRANGE(""https://docs.google.com/spreadsheets/d/1XL5vhW3sbDhbH9Cz0tuDiY8C3ctxq1tqvaCgkFb8cCA/edit?usp=sharing"",""ศรีสะเกษ!J74"")"),2)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IFERROR(__xludf.DUMMYFUNCTION("IMPORTRANGE(""https://docs.google.com/spreadsheets/d/1XL5vhW3sbDhbH9Cz0tuDiY8C3ctxq1tqvaCgkFb8cCA/edit?usp=sharing"",""ศรีสะเกษ!J84"")"),23)</f>
        <v>23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IFERROR(__xludf.DUMMYFUNCTION("IMPORTRANGE(""https://docs.google.com/spreadsheets/d/1XL5vhW3sbDhbH9Cz0tuDiY8C3ctxq1tqvaCgkFb8cCA/edit?usp=sharing"",""ศรีสะเกษ!J85"")"),23)</f>
        <v>23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IFERROR(__xludf.DUMMYFUNCTION("IMPORTRANGE(""https://docs.google.com/spreadsheets/d/1XL5vhW3sbDhbH9Cz0tuDiY8C3ctxq1tqvaCgkFb8cCA/edit?usp=sharing"",""ศรีสะเกษ!J88"")"),0)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IFERROR(__xludf.DUMMYFUNCTION("IMPORTRANGE(""https://docs.google.com/spreadsheets/d/1XL5vhW3sbDhbH9Cz0tuDiY8C3ctxq1tqvaCgkFb8cCA/edit?usp=sharing"",""ศรีสะเกษ!I89"")"),4)</f>
        <v>4</v>
      </c>
      <c r="J164" s="284">
        <f ca="1">IFERROR(__xludf.DUMMYFUNCTION("IMPORTRANGE(""https://docs.google.com/spreadsheets/d/1XL5vhW3sbDhbH9Cz0tuDiY8C3ctxq1tqvaCgkFb8cCA/edit?usp=sharing"",""ศรีสะเกษ!J89"")"),4)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IFERROR(__xludf.DUMMYFUNCTION("IMPORTRANGE(""https://docs.google.com/spreadsheets/d/1XL5vhW3sbDhbH9Cz0tuDiY8C3ctxq1tqvaCgkFb8cCA/edit?usp=sharing"",""ศรีสะเกษ!J100"")"),1)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IFERROR(__xludf.DUMMYFUNCTION("IMPORTRANGE(""https://docs.google.com/spreadsheets/d/1XL5vhW3sbDhbH9Cz0tuDiY8C3ctxq1tqvaCgkFb8cCA/edit?usp=sharing"",""ศรีสะเกษ!I101"")"),1)</f>
        <v>1</v>
      </c>
      <c r="J176" s="284">
        <f ca="1">IFERROR(__xludf.DUMMYFUNCTION("IMPORTRANGE(""https://docs.google.com/spreadsheets/d/1XL5vhW3sbDhbH9Cz0tuDiY8C3ctxq1tqvaCgkFb8cCA/edit?usp=sharing"",""ศรีสะเกษ!J101"")"),1)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IFERROR(__xludf.DUMMYFUNCTION("IMPORTRANGE(""https://docs.google.com/spreadsheets/d/1XL5vhW3sbDhbH9Cz0tuDiY8C3ctxq1tqvaCgkFb8cCA/edit?usp=sharing"",""ศรีสะเกษ!J113"")"),1)</f>
        <v>1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IFERROR(__xludf.DUMMYFUNCTION("IMPORTRANGE(""https://docs.google.com/spreadsheets/d/1XL5vhW3sbDhbH9Cz0tuDiY8C3ctxq1tqvaCgkFb8cCA/edit?usp=sharing"",""ศรีสะเกษ!I114"")"),10000)</f>
        <v>10000</v>
      </c>
      <c r="J189" s="284">
        <f ca="1">IFERROR(__xludf.DUMMYFUNCTION("IMPORTRANGE(""https://docs.google.com/spreadsheets/d/1XL5vhW3sbDhbH9Cz0tuDiY8C3ctxq1tqvaCgkFb8cCA/edit?usp=sharing"",""ศรีสะเกษ!J114"")"),0)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IFERROR(__xludf.DUMMYFUNCTION("IMPORTRANGE(""https://docs.google.com/spreadsheets/d/1XL5vhW3sbDhbH9Cz0tuDiY8C3ctxq1tqvaCgkFb8cCA/edit?usp=sharing"",""ศรีสะเกษ!J128"")"),0)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IFERROR(__xludf.DUMMYFUNCTION("IMPORTRANGE(""https://docs.google.com/spreadsheets/d/1XL5vhW3sbDhbH9Cz0tuDiY8C3ctxq1tqvaCgkFb8cCA/edit?usp=sharing"",""ศรีสะเกษ!I129"")"),0)</f>
        <v>0</v>
      </c>
      <c r="J204" s="284">
        <f ca="1">IFERROR(__xludf.DUMMYFUNCTION("IMPORTRANGE(""https://docs.google.com/spreadsheets/d/1XL5vhW3sbDhbH9Cz0tuDiY8C3ctxq1tqvaCgkFb8cCA/edit?usp=sharing"",""ศรีสะเกษ!J129"")"),0)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IFERROR(__xludf.DUMMYFUNCTION("IMPORTRANGE(""https://docs.google.com/spreadsheets/d/1XL5vhW3sbDhbH9Cz0tuDiY8C3ctxq1tqvaCgkFb8cCA/edit?usp=sharing"",""ศรีสะเกษ!J143"")"),0)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IFERROR(__xludf.DUMMYFUNCTION("IMPORTRANGE(""https://docs.google.com/spreadsheets/d/1XL5vhW3sbDhbH9Cz0tuDiY8C3ctxq1tqvaCgkFb8cCA/edit?usp=sharing"",""ศรีสะเกษ!I144"")"),15)</f>
        <v>15</v>
      </c>
      <c r="J219" s="267">
        <f ca="1">IFERROR(__xludf.DUMMYFUNCTION("IMPORTRANGE(""https://docs.google.com/spreadsheets/d/1XL5vhW3sbDhbH9Cz0tuDiY8C3ctxq1tqvaCgkFb8cCA/edit?usp=sharing"",""ศรีสะเกษ!J144"")"),15)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IFERROR(__xludf.DUMMYFUNCTION("IMPORTRANGE(""https://docs.google.com/spreadsheets/d/1Yj_ptqi66GCucihVvJfMjLAmec39IyEx_6qawtMGysU/edit?usp=sharing"",""สบก!BS50"")"),21125)</f>
        <v>21125</v>
      </c>
      <c r="N224" s="627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IFERROR(__xludf.DUMMYFUNCTION("IMPORTRANGE(""https://docs.google.com/spreadsheets/d/1Yj_ptqi66GCucihVvJfMjLAmec39IyEx_6qawtMGysU/edit?usp=sharing"",""สบก!BQ50"")"),0)</f>
        <v>0</v>
      </c>
      <c r="M228" s="625"/>
      <c r="N228" s="622">
        <f ca="1">IFERROR(__xludf.DUMMYFUNCTION("IMPORTRANGE(""https://docs.google.com/spreadsheets/d/1Yj_ptqi66GCucihVvJfMjLAmec39IyEx_6qawtMGysU/edit?usp=sharing"",""สบก!BU50"")"),0)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IFERROR(__xludf.DUMMYFUNCTION("IMPORTRANGE(""https://docs.google.com/spreadsheets/d/1XL5vhW3sbDhbH9Cz0tuDiY8C3ctxq1tqvaCgkFb8cCA/edit?usp=sharing"",""ศรีสะเกษ!I149"")"),15)</f>
        <v>15</v>
      </c>
      <c r="J229" s="267">
        <f ca="1">IFERROR(__xludf.DUMMYFUNCTION("IMPORTRANGE(""https://docs.google.com/spreadsheets/d/1XL5vhW3sbDhbH9Cz0tuDiY8C3ctxq1tqvaCgkFb8cCA/edit?usp=sharing"",""ศรีสะเกษ!J149"")"),15)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IFERROR(__xludf.DUMMYFUNCTION("IMPORTRANGE(""https://docs.google.com/spreadsheets/d/1XL5vhW3sbDhbH9Cz0tuDiY8C3ctxq1tqvaCgkFb8cCA/edit?usp=sharing"",""ศรีสะเกษ!J157"")"),1)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IFERROR(__xludf.DUMMYFUNCTION("IMPORTRANGE(""https://docs.google.com/spreadsheets/d/1XL5vhW3sbDhbH9Cz0tuDiY8C3ctxq1tqvaCgkFb8cCA/edit?usp=sharing"",""ศรีสะเกษ!I158"")"),0)</f>
        <v>0</v>
      </c>
      <c r="J238" s="267">
        <f ca="1">IFERROR(__xludf.DUMMYFUNCTION("IMPORTRANGE(""https://docs.google.com/spreadsheets/d/1XL5vhW3sbDhbH9Cz0tuDiY8C3ctxq1tqvaCgkFb8cCA/edit?usp=sharing"",""ศรีสะเกษ!J158"")"),0)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IFERROR(__xludf.DUMMYFUNCTION("IMPORTRANGE(""https://docs.google.com/spreadsheets/d/1XL5vhW3sbDhbH9Cz0tuDiY8C3ctxq1tqvaCgkFb8cCA/edit?usp=sharing"",""ศรีสะเกษ!J166"")"),0)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IFERROR(__xludf.DUMMYFUNCTION("IMPORTRANGE(""https://docs.google.com/spreadsheets/d/1XL5vhW3sbDhbH9Cz0tuDiY8C3ctxq1tqvaCgkFb8cCA/edit?usp=sharing"",""ศรีสะเกษ!I169"")"),25)</f>
        <v>25</v>
      </c>
      <c r="J249" s="316">
        <f ca="1">IFERROR(__xludf.DUMMYFUNCTION("IMPORTRANGE(""https://docs.google.com/spreadsheets/d/1XL5vhW3sbDhbH9Cz0tuDiY8C3ctxq1tqvaCgkFb8cCA/edit?usp=sharing"",""ศรีสะเกษ!J169"")"),25)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42465</v>
      </c>
      <c r="O250" s="151">
        <f t="shared" ref="O250:O252" ca="1" si="78">IF(L250&gt;0,N250*100/L250,0)</f>
        <v>47.713483146067418</v>
      </c>
      <c r="P250" s="151">
        <f t="shared" ref="P250:P252" ca="1" si="79">IF(M250&gt;0,N250*100/M250,0)</f>
        <v>89.4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42465</v>
      </c>
      <c r="O252" s="156">
        <f t="shared" ca="1" si="78"/>
        <v>47.713483146067418</v>
      </c>
      <c r="P252" s="156">
        <f t="shared" ca="1" si="79"/>
        <v>89.4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IFERROR(__xludf.DUMMYFUNCTION("IMPORTRANGE(""https://docs.google.com/spreadsheets/d/1Yj_ptqi66GCucihVvJfMjLAmec39IyEx_6qawtMGysU/edit?usp=sharing"",""สบก!CB50"")"),47500)</f>
        <v>47500</v>
      </c>
      <c r="N254" s="627">
        <f ca="1">IFERROR(__xludf.DUMMYFUNCTION("IMPORTRANGE(""https://docs.google.com/spreadsheets/d/1Yj_ptqi66GCucihVvJfMjLAmec39IyEx_6qawtMGysU/edit?usp=sharing"",""สบก!CC50"")"),42465)</f>
        <v>42465</v>
      </c>
      <c r="O254" s="169">
        <f ca="1">IF(L254&gt;0,N254*100/L254,0)</f>
        <v>47.713483146067418</v>
      </c>
      <c r="P254" s="169">
        <f ca="1">IF(M254&gt;0,N254*100/M254,0)</f>
        <v>89.4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IFERROR(__xludf.DUMMYFUNCTION("IMPORTRANGE(""https://docs.google.com/spreadsheets/d/1Yj_ptqi66GCucihVvJfMjLAmec39IyEx_6qawtMGysU/edit?usp=sharing"",""สบก!BZ50"")"),0)</f>
        <v>0</v>
      </c>
      <c r="M258" s="625"/>
      <c r="N258" s="622">
        <f ca="1">IFERROR(__xludf.DUMMYFUNCTION("IMPORTRANGE(""https://docs.google.com/spreadsheets/d/1Yj_ptqi66GCucihVvJfMjLAmec39IyEx_6qawtMGysU/edit?usp=sharing"",""สบก!CD50"")"),0)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IFERROR(__xludf.DUMMYFUNCTION("IMPORTRANGE(""https://docs.google.com/spreadsheets/d/1XL5vhW3sbDhbH9Cz0tuDiY8C3ctxq1tqvaCgkFb8cCA/edit?usp=sharing"",""ศรีสะเกษ!J184"")"),0)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IFERROR(__xludf.DUMMYFUNCTION("IMPORTRANGE(""https://docs.google.com/spreadsheets/d/1XL5vhW3sbDhbH9Cz0tuDiY8C3ctxq1tqvaCgkFb8cCA/edit?usp=sharing"",""ศรีสะเกษ!I185"")"),20)</f>
        <v>20</v>
      </c>
      <c r="J270" s="316">
        <f ca="1">IFERROR(__xludf.DUMMYFUNCTION("IMPORTRANGE(""https://docs.google.com/spreadsheets/d/1XL5vhW3sbDhbH9Cz0tuDiY8C3ctxq1tqvaCgkFb8cCA/edit?usp=sharing"",""ศรีสะเกษ!J185"")"),20)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97527.06</v>
      </c>
      <c r="O271" s="151">
        <f t="shared" ref="O271:O273" ca="1" si="84">IF(L271&gt;0,N271*100/L271,0)</f>
        <v>53.119313725490194</v>
      </c>
      <c r="P271" s="151">
        <f t="shared" ref="P271:P273" ca="1" si="85">IF(M271&gt;0,N271*100/M271,0)</f>
        <v>60.350903465346533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97527.06</v>
      </c>
      <c r="O273" s="156">
        <f t="shared" ca="1" si="84"/>
        <v>53.119313725490194</v>
      </c>
      <c r="P273" s="156">
        <f t="shared" ca="1" si="85"/>
        <v>60.350903465346533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6">
        <f ca="1">IFERROR(__xludf.DUMMYFUNCTION("IMPORTRANGE(""https://docs.google.com/spreadsheets/d/1Yj_ptqi66GCucihVvJfMjLAmec39IyEx_6qawtMGysU/edit?usp=sharing"",""สบก!CK50"")"),161600)</f>
        <v>161600</v>
      </c>
      <c r="N275" s="627">
        <f ca="1">IFERROR(__xludf.DUMMYFUNCTION("IMPORTRANGE(""https://docs.google.com/spreadsheets/d/1Yj_ptqi66GCucihVvJfMjLAmec39IyEx_6qawtMGysU/edit?usp=sharing"",""สบก!CL50"")"),97527.06)</f>
        <v>97527.06</v>
      </c>
      <c r="O275" s="169">
        <f ca="1">IF(L275&gt;0,N275*100/L275,0)</f>
        <v>53.119313725490194</v>
      </c>
      <c r="P275" s="169">
        <f ca="1">IF(M275&gt;0,N275*100/M275,0)</f>
        <v>60.350903465346533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IFERROR(__xludf.DUMMYFUNCTION("IMPORTRANGE(""https://docs.google.com/spreadsheets/d/1Yj_ptqi66GCucihVvJfMjLAmec39IyEx_6qawtMGysU/edit?usp=sharing"",""สบก!CI50"")"),0)</f>
        <v>0</v>
      </c>
      <c r="M279" s="625"/>
      <c r="N279" s="622">
        <f ca="1">IFERROR(__xludf.DUMMYFUNCTION("IMPORTRANGE(""https://docs.google.com/spreadsheets/d/1Yj_ptqi66GCucihVvJfMjLAmec39IyEx_6qawtMGysU/edit?usp=sharing"",""สบก!CM50"")"),0)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IFERROR(__xludf.DUMMYFUNCTION("IMPORTRANGE(""https://docs.google.com/spreadsheets/d/1XL5vhW3sbDhbH9Cz0tuDiY8C3ctxq1tqvaCgkFb8cCA/edit?usp=sharing"",""ศรีสะเกษ!J197"")"),0)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IFERROR(__xludf.DUMMYFUNCTION("IMPORTRANGE(""https://docs.google.com/spreadsheets/d/1XL5vhW3sbDhbH9Cz0tuDiY8C3ctxq1tqvaCgkFb8cCA/edit?usp=sharing"",""ศรีสะเกษ!I199"")"),0)</f>
        <v>0</v>
      </c>
      <c r="J289" s="316">
        <f ca="1">IFERROR(__xludf.DUMMYFUNCTION("IMPORTRANGE(""https://docs.google.com/spreadsheets/d/1XL5vhW3sbDhbH9Cz0tuDiY8C3ctxq1tqvaCgkFb8cCA/edit?usp=sharing"",""ศรีสะเกษ!J199"")"),0)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IFERROR(__xludf.DUMMYFUNCTION("IMPORTRANGE(""https://docs.google.com/spreadsheets/d/1Yj_ptqi66GCucihVvJfMjLAmec39IyEx_6qawtMGysU/edit?usp=sharing"",""สบก!CT50"")"),0)</f>
        <v>0</v>
      </c>
      <c r="N294" s="627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IFERROR(__xludf.DUMMYFUNCTION("IMPORTRANGE(""https://docs.google.com/spreadsheets/d/1Yj_ptqi66GCucihVvJfMjLAmec39IyEx_6qawtMGysU/edit?usp=sharing"",""สบก!CR50"")"),0)</f>
        <v>0</v>
      </c>
      <c r="M298" s="625"/>
      <c r="N298" s="622">
        <f ca="1">IFERROR(__xludf.DUMMYFUNCTION("IMPORTRANGE(""https://docs.google.com/spreadsheets/d/1Yj_ptqi66GCucihVvJfMjLAmec39IyEx_6qawtMGysU/edit?usp=sharing"",""สบก!CV50"")"),0)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IFERROR(__xludf.DUMMYFUNCTION("IMPORTRANGE(""https://docs.google.com/spreadsheets/d/1XL5vhW3sbDhbH9Cz0tuDiY8C3ctxq1tqvaCgkFb8cCA/edit?usp=sharing"",""ศรีสะเกษ!J213"")"),0)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IFERROR(__xludf.DUMMYFUNCTION("IMPORTRANGE(""https://docs.google.com/spreadsheets/d/1XL5vhW3sbDhbH9Cz0tuDiY8C3ctxq1tqvaCgkFb8cCA/edit?usp=sharing"",""ศรีสะเกษ!I214"")"),0)</f>
        <v>0</v>
      </c>
      <c r="J309" s="333">
        <f ca="1">IFERROR(__xludf.DUMMYFUNCTION("IMPORTRANGE(""https://docs.google.com/spreadsheets/d/1XL5vhW3sbDhbH9Cz0tuDiY8C3ctxq1tqvaCgkFb8cCA/edit?usp=sharing"",""ศรีสะเกษ!J214"")"),0)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IFERROR(__xludf.DUMMYFUNCTION("IMPORTRANGE(""https://docs.google.com/spreadsheets/d/1Yj_ptqi66GCucihVvJfMjLAmec39IyEx_6qawtMGysU/edit?usp=sharing"",""สบก!DC50"")"),0)</f>
        <v>0</v>
      </c>
      <c r="N314" s="627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IFERROR(__xludf.DUMMYFUNCTION("IMPORTRANGE(""https://docs.google.com/spreadsheets/d/1Yj_ptqi66GCucihVvJfMjLAmec39IyEx_6qawtMGysU/edit?usp=sharing"",""สบก!DA50"")"),0)</f>
        <v>0</v>
      </c>
      <c r="M318" s="625"/>
      <c r="N318" s="622">
        <f ca="1">IFERROR(__xludf.DUMMYFUNCTION("IMPORTRANGE(""https://docs.google.com/spreadsheets/d/1Yj_ptqi66GCucihVvJfMjLAmec39IyEx_6qawtMGysU/edit?usp=sharing"",""สบก!DE50"")"),0)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IFERROR(__xludf.DUMMYFUNCTION("IMPORTRANGE(""https://docs.google.com/spreadsheets/d/1XL5vhW3sbDhbH9Cz0tuDiY8C3ctxq1tqvaCgkFb8cCA/edit?usp=sharing"",""ศรีสะเกษ!J226"")"),0)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IFERROR(__xludf.DUMMYFUNCTION("IMPORTRANGE(""https://docs.google.com/spreadsheets/d/1XL5vhW3sbDhbH9Cz0tuDiY8C3ctxq1tqvaCgkFb8cCA/edit?usp=sharing"",""ศรีสะเกษ!I228"")"),1380)</f>
        <v>1380</v>
      </c>
      <c r="J328" s="339">
        <f ca="1">IFERROR(__xludf.DUMMYFUNCTION("IMPORTRANGE(""https://docs.google.com/spreadsheets/d/1XL5vhW3sbDhbH9Cz0tuDiY8C3ctxq1tqvaCgkFb8cCA/edit?usp=sharing"",""ศรีสะเกษ!J228"")"),693)</f>
        <v>693</v>
      </c>
      <c r="K328" s="317">
        <f ca="1">IF(I328&gt;0,J328*100/I328,0)</f>
        <v>50.217391304347828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1734870</v>
      </c>
      <c r="M329" s="152">
        <f t="shared" ca="1" si="98"/>
        <v>1477590</v>
      </c>
      <c r="N329" s="152">
        <f t="shared" ca="1" si="98"/>
        <v>794850.78</v>
      </c>
      <c r="O329" s="151">
        <f t="shared" ref="O329:O331" ca="1" si="99">IF(L329&gt;0,N329*100/L329,0)</f>
        <v>45.816157983018904</v>
      </c>
      <c r="P329" s="151">
        <f t="shared" ref="P329:P331" ca="1" si="100">IF(M329&gt;0,N329*100/M329,0)</f>
        <v>53.793730331147344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1734870</v>
      </c>
      <c r="M331" s="157">
        <f t="shared" ca="1" si="102"/>
        <v>1477590</v>
      </c>
      <c r="N331" s="157">
        <f t="shared" ca="1" si="102"/>
        <v>794850.78</v>
      </c>
      <c r="O331" s="156">
        <f t="shared" ca="1" si="99"/>
        <v>45.816157983018904</v>
      </c>
      <c r="P331" s="156">
        <f t="shared" ca="1" si="100"/>
        <v>53.793730331147344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1717870</v>
      </c>
      <c r="M333" s="626">
        <f ca="1">IFERROR(__xludf.DUMMYFUNCTION("IMPORTRANGE(""https://docs.google.com/spreadsheets/d/1Yj_ptqi66GCucihVvJfMjLAmec39IyEx_6qawtMGysU/edit?usp=sharing"",""สบก!DL50"")"),1460590)</f>
        <v>1460590</v>
      </c>
      <c r="N333" s="627">
        <f ca="1">IFERROR(__xludf.DUMMYFUNCTION("IMPORTRANGE(""https://docs.google.com/spreadsheets/d/1Yj_ptqi66GCucihVvJfMjLAmec39IyEx_6qawtMGysU/edit?usp=sharing"",""สบก!DM50"")"),777850.78)</f>
        <v>777850.78</v>
      </c>
      <c r="O333" s="169">
        <f ca="1">IF(L333&gt;0,N333*100/L333,0)</f>
        <v>45.279955992013363</v>
      </c>
      <c r="P333" s="169">
        <f ca="1">IF(M333&gt;0,N333*100/M333,0)</f>
        <v>53.255929453166189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IFERROR(__xludf.DUMMYFUNCTION("IMPORTRANGE(""https://docs.google.com/spreadsheets/d/1Yj_ptqi66GCucihVvJfMjLAmec39IyEx_6qawtMGysU/edit?usp=sharing"",""สบก!DI50"")"),1217470)</f>
        <v>1217470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IFERROR(__xludf.DUMMYFUNCTION("IMPORTRANGE(""https://docs.google.com/spreadsheets/d/1Yj_ptqi66GCucihVvJfMjLAmec39IyEx_6qawtMGysU/edit?usp=sharing"",""สบก!DJ50"")"),17000)</f>
        <v>17000</v>
      </c>
      <c r="M337" s="625">
        <f ca="1">L337</f>
        <v>17000</v>
      </c>
      <c r="N337" s="622">
        <f ca="1">IFERROR(__xludf.DUMMYFUNCTION("IMPORTRANGE(""https://docs.google.com/spreadsheets/d/1Yj_ptqi66GCucihVvJfMjLAmec39IyEx_6qawtMGysU/edit?usp=sharing"",""สบก!DN50"")"),17000)</f>
        <v>17000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IFERROR(__xludf.DUMMYFUNCTION("IMPORTRANGE(""https://docs.google.com/spreadsheets/d/1XL5vhW3sbDhbH9Cz0tuDiY8C3ctxq1tqvaCgkFb8cCA/edit?usp=sharing"",""ศรีสะเกษ!J234"")"),811)</f>
        <v>811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IFERROR(__xludf.DUMMYFUNCTION("IMPORTRANGE(""https://docs.google.com/spreadsheets/d/1XL5vhW3sbDhbH9Cz0tuDiY8C3ctxq1tqvaCgkFb8cCA/edit?usp=sharing"",""ศรีสะเกษ!J235"")"),5215.93)</f>
        <v>5215.93</v>
      </c>
      <c r="K340" s="342">
        <f t="shared" ca="1" si="103"/>
        <v>67.215592783505159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IFERROR(__xludf.DUMMYFUNCTION("IMPORTRANGE(""https://docs.google.com/spreadsheets/d/1XL5vhW3sbDhbH9Cz0tuDiY8C3ctxq1tqvaCgkFb8cCA/edit?usp=sharing"",""ศรีสะเกษ!I236"")"),1380)</f>
        <v>1380</v>
      </c>
      <c r="J341" s="188">
        <f ca="1">IFERROR(__xludf.DUMMYFUNCTION("IMPORTRANGE(""https://docs.google.com/spreadsheets/d/1XL5vhW3sbDhbH9Cz0tuDiY8C3ctxq1tqvaCgkFb8cCA/edit?usp=sharing"",""ศรีสะเกษ!J236"")"),1243)</f>
        <v>1243</v>
      </c>
      <c r="K341" s="342">
        <f t="shared" ca="1" si="103"/>
        <v>90.072463768115938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IFERROR(__xludf.DUMMYFUNCTION("IMPORTRANGE(""https://docs.google.com/spreadsheets/d/1XL5vhW3sbDhbH9Cz0tuDiY8C3ctxq1tqvaCgkFb8cCA/edit?usp=sharing"",""ศรีสะเกษ!J237"")"),9221.18999999999)</f>
        <v>9221.1899999999896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IFERROR(__xludf.DUMMYFUNCTION("IMPORTRANGE(""https://docs.google.com/spreadsheets/d/1XL5vhW3sbDhbH9Cz0tuDiY8C3ctxq1tqvaCgkFb8cCA/edit?usp=sharing"",""ศรีสะเกษ!I238"")"),1380)</f>
        <v>1380</v>
      </c>
      <c r="J343" s="188">
        <f ca="1">IFERROR(__xludf.DUMMYFUNCTION("IMPORTRANGE(""https://docs.google.com/spreadsheets/d/1XL5vhW3sbDhbH9Cz0tuDiY8C3ctxq1tqvaCgkFb8cCA/edit?usp=sharing"",""ศรีสะเกษ!J238"")"),3)</f>
        <v>3</v>
      </c>
      <c r="K343" s="342">
        <f t="shared" ca="1" si="103"/>
        <v>0.21739130434782608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IFERROR(__xludf.DUMMYFUNCTION("IMPORTRANGE(""https://docs.google.com/spreadsheets/d/1XL5vhW3sbDhbH9Cz0tuDiY8C3ctxq1tqvaCgkFb8cCA/edit?usp=sharing"",""ศรีสะเกษ!J239"")"),23.72)</f>
        <v>23.72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IFERROR(__xludf.DUMMYFUNCTION("IMPORTRANGE(""https://docs.google.com/spreadsheets/d/1XL5vhW3sbDhbH9Cz0tuDiY8C3ctxq1tqvaCgkFb8cCA/edit?usp=sharing"",""ศรีสะเกษ!I240"")"),1380)</f>
        <v>1380</v>
      </c>
      <c r="J345" s="188">
        <f ca="1">IFERROR(__xludf.DUMMYFUNCTION("IMPORTRANGE(""https://docs.google.com/spreadsheets/d/1XL5vhW3sbDhbH9Cz0tuDiY8C3ctxq1tqvaCgkFb8cCA/edit?usp=sharing"",""ศรีสะเกษ!J240"")"),693)</f>
        <v>693</v>
      </c>
      <c r="K345" s="342">
        <f t="shared" ca="1" si="103"/>
        <v>50.217391304347828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IFERROR(__xludf.DUMMYFUNCTION("IMPORTRANGE(""https://docs.google.com/spreadsheets/d/1XL5vhW3sbDhbH9Cz0tuDiY8C3ctxq1tqvaCgkFb8cCA/edit?usp=sharing"",""ศรีสะเกษ!J241"")"),5489.43)</f>
        <v>5489.43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IFERROR(__xludf.DUMMYFUNCTION("IMPORTRANGE(""https://docs.google.com/spreadsheets/d/1XL5vhW3sbDhbH9Cz0tuDiY8C3ctxq1tqvaCgkFb8cCA/edit?usp=sharing"",""ศรีสะเกษ!L242"")"),3179821)</f>
        <v>3179821</v>
      </c>
      <c r="M347" s="358"/>
      <c r="N347" s="358">
        <f ca="1">IFERROR(__xludf.DUMMYFUNCTION("IMPORTRANGE(""https://docs.google.com/spreadsheets/d/1XL5vhW3sbDhbH9Cz0tuDiY8C3ctxq1tqvaCgkFb8cCA/edit?usp=sharing"",""ศรีสะเกษ!M242"")"),1339595.34999999)</f>
        <v>1339595.3499999901</v>
      </c>
      <c r="O347" s="358">
        <f ca="1">+IF(L347&gt;0,N347*100/L347,0)</f>
        <v>42.128011293717165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IFERROR(__xludf.DUMMYFUNCTION("IMPORTRANGE(""https://docs.google.com/spreadsheets/d/1XL5vhW3sbDhbH9Cz0tuDiY8C3ctxq1tqvaCgkFb8cCA/edit?usp=sharing"",""ศรีสะเกษ!M244"")"),255771.64)</f>
        <v>255771.64</v>
      </c>
      <c r="O349" s="373">
        <f ca="1">+IF(L349&gt;0,N349*100/L349,0)</f>
        <v>68.542083824632869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IFERROR(__xludf.DUMMYFUNCTION("IMPORTRANGE(""https://docs.google.com/spreadsheets/d/1XL5vhW3sbDhbH9Cz0tuDiY8C3ctxq1tqvaCgkFb8cCA/edit?usp=sharing"",""ศรีสะเกษ!L247"")"),373160)</f>
        <v>373160</v>
      </c>
      <c r="M352" s="165"/>
      <c r="N352" s="164">
        <f ca="1">IFERROR(__xludf.DUMMYFUNCTION("IMPORTRANGE(""https://docs.google.com/spreadsheets/d/1XL5vhW3sbDhbH9Cz0tuDiY8C3ctxq1tqvaCgkFb8cCA/edit?usp=sharing"",""ศรีสะเกษ!M247"")"),255771.64)</f>
        <v>255771.64</v>
      </c>
      <c r="O352" s="165">
        <f t="shared" ca="1" si="105"/>
        <v>68.542083824632869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IFERROR(__xludf.DUMMYFUNCTION("IMPORTRANGE(""https://docs.google.com/spreadsheets/d/1XL5vhW3sbDhbH9Cz0tuDiY8C3ctxq1tqvaCgkFb8cCA/edit?usp=sharing"",""ศรีสะเกษ!L249"")"),373160)</f>
        <v>373160</v>
      </c>
      <c r="M354" s="169"/>
      <c r="N354" s="168">
        <f ca="1">IFERROR(__xludf.DUMMYFUNCTION("IMPORTRANGE(""https://docs.google.com/spreadsheets/d/1XL5vhW3sbDhbH9Cz0tuDiY8C3ctxq1tqvaCgkFb8cCA/edit?usp=sharing"",""ศรีสะเกษ!M249"")"),255771.64)</f>
        <v>255771.64</v>
      </c>
      <c r="O354" s="169">
        <f t="shared" ca="1" si="105"/>
        <v>68.542083824632869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IFERROR(__xludf.DUMMYFUNCTION("IMPORTRANGE(""https://docs.google.com/spreadsheets/d/1XL5vhW3sbDhbH9Cz0tuDiY8C3ctxq1tqvaCgkFb8cCA/edit?usp=sharing"",""ศรีสะเกษ!M250"")"),32020)</f>
        <v>32020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IFERROR(__xludf.DUMMYFUNCTION("IMPORTRANGE(""https://docs.google.com/spreadsheets/d/1XL5vhW3sbDhbH9Cz0tuDiY8C3ctxq1tqvaCgkFb8cCA/edit?usp=sharing"",""ศรีสะเกษ!M251"")"),145000)</f>
        <v>145000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IFERROR(__xludf.DUMMYFUNCTION("IMPORTRANGE(""https://docs.google.com/spreadsheets/d/1XL5vhW3sbDhbH9Cz0tuDiY8C3ctxq1tqvaCgkFb8cCA/edit?usp=sharing"",""ศรีสะเกษ!M252"")"),73451.64)</f>
        <v>73451.64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IFERROR(__xludf.DUMMYFUNCTION("IMPORTRANGE(""https://docs.google.com/spreadsheets/d/1XL5vhW3sbDhbH9Cz0tuDiY8C3ctxq1tqvaCgkFb8cCA/edit?usp=sharing"",""ศรีสะเกษ!M253"")"),5300)</f>
        <v>5300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IFERROR(__xludf.DUMMYFUNCTION("IMPORTRANGE(""https://docs.google.com/spreadsheets/d/1XL5vhW3sbDhbH9Cz0tuDiY8C3ctxq1tqvaCgkFb8cCA/edit?usp=sharing"",""ศรีสะเกษ!J274"")"),0)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IFERROR(__xludf.DUMMYFUNCTION("IMPORTRANGE(""https://docs.google.com/spreadsheets/d/1XL5vhW3sbDhbH9Cz0tuDiY8C3ctxq1tqvaCgkFb8cCA/edit?usp=sharing"",""ศรีสะเกษ!M275"")"),246615.289999999)</f>
        <v>246615.28999999899</v>
      </c>
      <c r="O380" s="373">
        <f ca="1">+IF(L380&gt;0,N380*100/L380,0)</f>
        <v>23.977685412048281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IFERROR(__xludf.DUMMYFUNCTION("IMPORTRANGE(""https://docs.google.com/spreadsheets/d/1XL5vhW3sbDhbH9Cz0tuDiY8C3ctxq1tqvaCgkFb8cCA/edit?usp=sharing"",""ศรีสะเกษ!M278"")"),246615.289999999)</f>
        <v>246615.28999999899</v>
      </c>
      <c r="O383" s="165">
        <f t="shared" ca="1" si="109"/>
        <v>23.977685412048281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IFERROR(__xludf.DUMMYFUNCTION("IMPORTRANGE(""https://docs.google.com/spreadsheets/d/1XL5vhW3sbDhbH9Cz0tuDiY8C3ctxq1tqvaCgkFb8cCA/edit?usp=sharing"",""ศรีสะเกษ!M280"")"),246615.289999999)</f>
        <v>246615.28999999899</v>
      </c>
      <c r="O385" s="169">
        <f t="shared" ca="1" si="109"/>
        <v>23.977685412048281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IFERROR(__xludf.DUMMYFUNCTION("IMPORTRANGE(""https://docs.google.com/spreadsheets/d/1XL5vhW3sbDhbH9Cz0tuDiY8C3ctxq1tqvaCgkFb8cCA/edit?usp=sharing"",""ศรีสะเกษ!M281"")"),159280)</f>
        <v>159280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IFERROR(__xludf.DUMMYFUNCTION("IMPORTRANGE(""https://docs.google.com/spreadsheets/d/1XL5vhW3sbDhbH9Cz0tuDiY8C3ctxq1tqvaCgkFb8cCA/edit?usp=sharing"",""ศรีสะเกษ!M283"")"),72375.29)</f>
        <v>72375.289999999994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IFERROR(__xludf.DUMMYFUNCTION("IMPORTRANGE(""https://docs.google.com/spreadsheets/d/1XL5vhW3sbDhbH9Cz0tuDiY8C3ctxq1tqvaCgkFb8cCA/edit?usp=sharing"",""ศรีสะเกษ!M284"")"),14960)</f>
        <v>14960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IFERROR(__xludf.DUMMYFUNCTION("IMPORTRANGE(""https://docs.google.com/spreadsheets/d/1XL5vhW3sbDhbH9Cz0tuDiY8C3ctxq1tqvaCgkFb8cCA/edit?usp=sharing"",""ศรีสะเกษ!J295"")"),0)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IFERROR(__xludf.DUMMYFUNCTION("IMPORTRANGE(""https://docs.google.com/spreadsheets/d/1XL5vhW3sbDhbH9Cz0tuDiY8C3ctxq1tqvaCgkFb8cCA/edit?usp=sharing"",""ศรีสะเกษ!M296"")"),206330)</f>
        <v>206330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IFERROR(__xludf.DUMMYFUNCTION("IMPORTRANGE(""https://docs.google.com/spreadsheets/d/1XL5vhW3sbDhbH9Cz0tuDiY8C3ctxq1tqvaCgkFb8cCA/edit?usp=sharing"",""ศรีสะเกษ!M299"")"),206330)</f>
        <v>206330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IFERROR(__xludf.DUMMYFUNCTION("IMPORTRANGE(""https://docs.google.com/spreadsheets/d/1XL5vhW3sbDhbH9Cz0tuDiY8C3ctxq1tqvaCgkFb8cCA/edit?usp=sharing"",""ศรีสะเกษ!M301"")"),206330)</f>
        <v>206330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IFERROR(__xludf.DUMMYFUNCTION("IMPORTRANGE(""https://docs.google.com/spreadsheets/d/1XL5vhW3sbDhbH9Cz0tuDiY8C3ctxq1tqvaCgkFb8cCA/edit?usp=sharing"",""ศรีสะเกษ!M305"")"),34480)</f>
        <v>34480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IFERROR(__xludf.DUMMYFUNCTION("IMPORTRANGE(""https://docs.google.com/spreadsheets/d/1XL5vhW3sbDhbH9Cz0tuDiY8C3ctxq1tqvaCgkFb8cCA/edit?usp=sharing"",""ศรีสะเกษ!J329"")"),0)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IFERROR(__xludf.DUMMYFUNCTION("IMPORTRANGE(""https://docs.google.com/spreadsheets/d/1XL5vhW3sbDhbH9Cz0tuDiY8C3ctxq1tqvaCgkFb8cCA/edit?usp=sharing"",""ศรีสะเกษ!J330"")"),35)</f>
        <v>35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IFERROR(__xludf.DUMMYFUNCTION("IMPORTRANGE(""https://docs.google.com/spreadsheets/d/1XL5vhW3sbDhbH9Cz0tuDiY8C3ctxq1tqvaCgkFb8cCA/edit?usp=sharing"",""ศรีสะเกษ!M330"")"),95765)</f>
        <v>95765</v>
      </c>
      <c r="O435" s="412">
        <f t="shared" ref="O435:O439" ca="1" si="114">+IF(L435&gt;0,N435*100/L435,0)</f>
        <v>72.003759398496243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IFERROR(__xludf.DUMMYFUNCTION("IMPORTRANGE(""https://docs.google.com/spreadsheets/d/1XL5vhW3sbDhbH9Cz0tuDiY8C3ctxq1tqvaCgkFb8cCA/edit?usp=sharing"",""ศรีสะเกษ!M332"")"),95765)</f>
        <v>95765</v>
      </c>
      <c r="O437" s="169">
        <f t="shared" ca="1" si="114"/>
        <v>72.003759398496243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IFERROR(__xludf.DUMMYFUNCTION("IMPORTRANGE(""https://docs.google.com/spreadsheets/d/1XL5vhW3sbDhbH9Cz0tuDiY8C3ctxq1tqvaCgkFb8cCA/edit?usp=sharing"",""ศรีสะเกษ!M334"")"),95765)</f>
        <v>95765</v>
      </c>
      <c r="O439" s="169">
        <f t="shared" ca="1" si="114"/>
        <v>72.003759398496243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IFERROR(__xludf.DUMMYFUNCTION("IMPORTRANGE(""https://docs.google.com/spreadsheets/d/1XL5vhW3sbDhbH9Cz0tuDiY8C3ctxq1tqvaCgkFb8cCA/edit?usp=sharing"",""ศรีสะเกษ!M335"")"),75005)</f>
        <v>75005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IFERROR(__xludf.DUMMYFUNCTION("IMPORTRANGE(""https://docs.google.com/spreadsheets/d/1XL5vhW3sbDhbH9Cz0tuDiY8C3ctxq1tqvaCgkFb8cCA/edit?usp=sharing"",""ศรีสะเกษ!M338"")"),20760)</f>
        <v>20760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IFERROR(__xludf.DUMMYFUNCTION("IMPORTRANGE(""https://docs.google.com/spreadsheets/d/1XL5vhW3sbDhbH9Cz0tuDiY8C3ctxq1tqvaCgkFb8cCA/edit?usp=sharing"",""ศรีสะเกษ!J344"")"),35)</f>
        <v>35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IFERROR(__xludf.DUMMYFUNCTION("IMPORTRANGE(""https://docs.google.com/spreadsheets/d/1XL5vhW3sbDhbH9Cz0tuDiY8C3ctxq1tqvaCgkFb8cCA/edit?usp=sharing"",""ศรีสะเกษ!J345"")"),35)</f>
        <v>35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IFERROR(__xludf.DUMMYFUNCTION("IMPORTRANGE(""https://docs.google.com/spreadsheets/d/1XL5vhW3sbDhbH9Cz0tuDiY8C3ctxq1tqvaCgkFb8cCA/edit?usp=sharing"",""ศรีสะเกษ!J349"")"),0)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IFERROR(__xludf.DUMMYFUNCTION("IMPORTRANGE(""https://docs.google.com/spreadsheets/d/1XL5vhW3sbDhbH9Cz0tuDiY8C3ctxq1tqvaCgkFb8cCA/edit?usp=sharing"",""ศรีสะเกษ!J350"")"),51444)</f>
        <v>51444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IFERROR(__xludf.DUMMYFUNCTION("IMPORTRANGE(""https://docs.google.com/spreadsheets/d/1XL5vhW3sbDhbH9Cz0tuDiY8C3ctxq1tqvaCgkFb8cCA/edit?usp=sharing"",""ศรีสะเกษ!L350"")"),845921)</f>
        <v>845921</v>
      </c>
      <c r="M455" s="373"/>
      <c r="N455" s="373">
        <f ca="1">IFERROR(__xludf.DUMMYFUNCTION("IMPORTRANGE(""https://docs.google.com/spreadsheets/d/1XL5vhW3sbDhbH9Cz0tuDiY8C3ctxq1tqvaCgkFb8cCA/edit?usp=sharing"",""ศรีสะเกษ!M350"")"),290878.37)</f>
        <v>290878.37</v>
      </c>
      <c r="O455" s="373">
        <f t="shared" ref="O455:O459" ca="1" si="116">+IF(L455&gt;0,N455*100/L455,0)</f>
        <v>34.385997037548421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IFERROR(__xludf.DUMMYFUNCTION("IMPORTRANGE(""https://docs.google.com/spreadsheets/d/1XL5vhW3sbDhbH9Cz0tuDiY8C3ctxq1tqvaCgkFb8cCA/edit?usp=sharing"",""ศรีสะเกษ!L352"")"),845921)</f>
        <v>845921</v>
      </c>
      <c r="M457" s="165"/>
      <c r="N457" s="169">
        <f ca="1">IFERROR(__xludf.DUMMYFUNCTION("IMPORTRANGE(""https://docs.google.com/spreadsheets/d/1XL5vhW3sbDhbH9Cz0tuDiY8C3ctxq1tqvaCgkFb8cCA/edit?usp=sharing"",""ศรีสะเกษ!M352"")"),290878.37)</f>
        <v>290878.37</v>
      </c>
      <c r="O457" s="169">
        <f t="shared" ca="1" si="116"/>
        <v>34.385997037548421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IFERROR(__xludf.DUMMYFUNCTION("IMPORTRANGE(""https://docs.google.com/spreadsheets/d/1XL5vhW3sbDhbH9Cz0tuDiY8C3ctxq1tqvaCgkFb8cCA/edit?usp=sharing"",""ศรีสะเกษ!L354"")"),845921)</f>
        <v>845921</v>
      </c>
      <c r="M459" s="169"/>
      <c r="N459" s="169">
        <f ca="1">IFERROR(__xludf.DUMMYFUNCTION("IMPORTRANGE(""https://docs.google.com/spreadsheets/d/1XL5vhW3sbDhbH9Cz0tuDiY8C3ctxq1tqvaCgkFb8cCA/edit?usp=sharing"",""ศรีสะเกษ!M354"")"),290878.37)</f>
        <v>290878.37</v>
      </c>
      <c r="O459" s="169">
        <f t="shared" ca="1" si="116"/>
        <v>34.385997037548421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IFERROR(__xludf.DUMMYFUNCTION("IMPORTRANGE(""https://docs.google.com/spreadsheets/d/1XL5vhW3sbDhbH9Cz0tuDiY8C3ctxq1tqvaCgkFb8cCA/edit?usp=sharing"",""ศรีสะเกษ!M357"")"),72387.12)</f>
        <v>72387.12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IFERROR(__xludf.DUMMYFUNCTION("IMPORTRANGE(""https://docs.google.com/spreadsheets/d/1XL5vhW3sbDhbH9Cz0tuDiY8C3ctxq1tqvaCgkFb8cCA/edit?usp=sharing"",""ศรีสะเกษ!M358"")"),218491.25)</f>
        <v>218491.25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IFERROR(__xludf.DUMMYFUNCTION("IMPORTRANGE(""https://docs.google.com/spreadsheets/d/1XL5vhW3sbDhbH9Cz0tuDiY8C3ctxq1tqvaCgkFb8cCA/edit?usp=sharing"",""ศรีสะเกษ!I359"")"),51444)</f>
        <v>51444</v>
      </c>
      <c r="J464" s="267">
        <f ca="1">IFERROR(__xludf.DUMMYFUNCTION("IMPORTRANGE(""https://docs.google.com/spreadsheets/d/1XL5vhW3sbDhbH9Cz0tuDiY8C3ctxq1tqvaCgkFb8cCA/edit?usp=sharing"",""ศรีสะเกษ!J359"")"),51444)</f>
        <v>51444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IFERROR(__xludf.DUMMYFUNCTION("IMPORTRANGE(""https://docs.google.com/spreadsheets/d/1XL5vhW3sbDhbH9Cz0tuDiY8C3ctxq1tqvaCgkFb8cCA/edit?usp=sharing"",""ศรีสะเกษ!J376"")"),51444)</f>
        <v>51444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IFERROR(__xludf.DUMMYFUNCTION("IMPORTRANGE(""https://docs.google.com/spreadsheets/d/1XL5vhW3sbDhbH9Cz0tuDiY8C3ctxq1tqvaCgkFb8cCA/edit?usp=sharing"",""ศรีสะเกษ!J377"")"),11134)</f>
        <v>11134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IFERROR(__xludf.DUMMYFUNCTION("IMPORTRANGE(""https://docs.google.com/spreadsheets/d/1XL5vhW3sbDhbH9Cz0tuDiY8C3ctxq1tqvaCgkFb8cCA/edit?usp=sharing"",""ศรีสะเกษ!J378"")"),39085)</f>
        <v>39085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IFERROR(__xludf.DUMMYFUNCTION("IMPORTRANGE(""https://docs.google.com/spreadsheets/d/1XL5vhW3sbDhbH9Cz0tuDiY8C3ctxq1tqvaCgkFb8cCA/edit?usp=sharing"",""ศรีสะเกษ!J379"")"),8882)</f>
        <v>8882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IFERROR(__xludf.DUMMYFUNCTION("IMPORTRANGE(""https://docs.google.com/spreadsheets/d/1XL5vhW3sbDhbH9Cz0tuDiY8C3ctxq1tqvaCgkFb8cCA/edit?usp=sharing"",""ศรีสะเกษ!J380"")"),10965)</f>
        <v>10965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IFERROR(__xludf.DUMMYFUNCTION("IMPORTRANGE(""https://docs.google.com/spreadsheets/d/1XL5vhW3sbDhbH9Cz0tuDiY8C3ctxq1tqvaCgkFb8cCA/edit?usp=sharing"",""ศรีสะเกษ!J381"")"),1965)</f>
        <v>1965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IFERROR(__xludf.DUMMYFUNCTION("IMPORTRANGE(""https://docs.google.com/spreadsheets/d/1XL5vhW3sbDhbH9Cz0tuDiY8C3ctxq1tqvaCgkFb8cCA/edit?usp=sharing"",""ศรีสะเกษ!J382"")"),1394)</f>
        <v>1394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IFERROR(__xludf.DUMMYFUNCTION("IMPORTRANGE(""https://docs.google.com/spreadsheets/d/1XL5vhW3sbDhbH9Cz0tuDiY8C3ctxq1tqvaCgkFb8cCA/edit?usp=sharing"",""ศรีสะเกษ!J383"")"),287)</f>
        <v>287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IFERROR(__xludf.DUMMYFUNCTION("IMPORTRANGE(""https://docs.google.com/spreadsheets/d/1XL5vhW3sbDhbH9Cz0tuDiY8C3ctxq1tqvaCgkFb8cCA/edit?usp=sharing"",""ศรีสะเกษ!J384"")"),1394)</f>
        <v>1394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IFERROR(__xludf.DUMMYFUNCTION("IMPORTRANGE(""https://docs.google.com/spreadsheets/d/1XL5vhW3sbDhbH9Cz0tuDiY8C3ctxq1tqvaCgkFb8cCA/edit?usp=sharing"",""ศรีสะเกษ!J385"")"),287)</f>
        <v>287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IFERROR(__xludf.DUMMYFUNCTION("IMPORTRANGE(""https://docs.google.com/spreadsheets/d/1XL5vhW3sbDhbH9Cz0tuDiY8C3ctxq1tqvaCgkFb8cCA/edit?usp=sharing"",""ศรีสะเกษ!J392"")"),890)</f>
        <v>890</v>
      </c>
      <c r="K497" s="444">
        <f t="shared" ca="1" si="117"/>
        <v>26.74278846153846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IFERROR(__xludf.DUMMYFUNCTION("IMPORTRANGE(""https://docs.google.com/spreadsheets/d/1XL5vhW3sbDhbH9Cz0tuDiY8C3ctxq1tqvaCgkFb8cCA/edit?usp=sharing"",""ศรีสะเกษ!J393"")"),890)</f>
        <v>890</v>
      </c>
      <c r="K498" s="202">
        <f t="shared" ca="1" si="117"/>
        <v>26.74278846153846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IFERROR(__xludf.DUMMYFUNCTION("IMPORTRANGE(""https://docs.google.com/spreadsheets/d/1XL5vhW3sbDhbH9Cz0tuDiY8C3ctxq1tqvaCgkFb8cCA/edit?usp=sharing"",""ศรีสะเกษ!J394"")"),278)</f>
        <v>278</v>
      </c>
      <c r="K499" s="202">
        <f t="shared" ca="1" si="117"/>
        <v>38.292011019283748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IFERROR(__xludf.DUMMYFUNCTION("IMPORTRANGE(""https://docs.google.com/spreadsheets/d/1XL5vhW3sbDhbH9Cz0tuDiY8C3ctxq1tqvaCgkFb8cCA/edit?usp=sharing"",""ศรีสะเกษ!J395"")"),80)</f>
        <v>80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IFERROR(__xludf.DUMMYFUNCTION("IMPORTRANGE(""https://docs.google.com/spreadsheets/d/1XL5vhW3sbDhbH9Cz0tuDiY8C3ctxq1tqvaCgkFb8cCA/edit?usp=sharing"",""ศรีสะเกษ!J396"")"),29)</f>
        <v>29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IFERROR(__xludf.DUMMYFUNCTION("IMPORTRANGE(""https://docs.google.com/spreadsheets/d/1XL5vhW3sbDhbH9Cz0tuDiY8C3ctxq1tqvaCgkFb8cCA/edit?usp=sharing"",""ศรีสะเกษ!J397"")"),46)</f>
        <v>46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IFERROR(__xludf.DUMMYFUNCTION("IMPORTRANGE(""https://docs.google.com/spreadsheets/d/1XL5vhW3sbDhbH9Cz0tuDiY8C3ctxq1tqvaCgkFb8cCA/edit?usp=sharing"",""ศรีสะเกษ!J398"")"),18)</f>
        <v>18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IFERROR(__xludf.DUMMYFUNCTION("IMPORTRANGE(""https://docs.google.com/spreadsheets/d/1XL5vhW3sbDhbH9Cz0tuDiY8C3ctxq1tqvaCgkFb8cCA/edit?usp=sharing"",""ศรีสะเกษ!J399"")"),34)</f>
        <v>34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IFERROR(__xludf.DUMMYFUNCTION("IMPORTRANGE(""https://docs.google.com/spreadsheets/d/1XL5vhW3sbDhbH9Cz0tuDiY8C3ctxq1tqvaCgkFb8cCA/edit?usp=sharing"",""ศรีสะเกษ!J400"")"),11)</f>
        <v>11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IFERROR(__xludf.DUMMYFUNCTION("IMPORTRANGE(""https://docs.google.com/spreadsheets/d/1XL5vhW3sbDhbH9Cz0tuDiY8C3ctxq1tqvaCgkFb8cCA/edit?usp=sharing"",""ศรีสะเกษ!J403"")"),5)</f>
        <v>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IFERROR(__xludf.DUMMYFUNCTION("IMPORTRANGE(""https://docs.google.com/spreadsheets/d/1XL5vhW3sbDhbH9Cz0tuDiY8C3ctxq1tqvaCgkFb8cCA/edit?usp=sharing"",""ศรีสะเกษ!J407"")"),5)</f>
        <v>5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IFERROR(__xludf.DUMMYFUNCTION("IMPORTRANGE(""https://docs.google.com/spreadsheets/d/1XL5vhW3sbDhbH9Cz0tuDiY8C3ctxq1tqvaCgkFb8cCA/edit?usp=sharing"",""ศรีสะเกษ!J409"")"),805)</f>
        <v>805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IFERROR(__xludf.DUMMYFUNCTION("IMPORTRANGE(""https://docs.google.com/spreadsheets/d/1XL5vhW3sbDhbH9Cz0tuDiY8C3ctxq1tqvaCgkFb8cCA/edit?usp=sharing"",""ศรีสะเกษ!J410"")"),247)</f>
        <v>247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IFERROR(__xludf.DUMMYFUNCTION("IMPORTRANGE(""https://docs.google.com/spreadsheets/d/1XL5vhW3sbDhbH9Cz0tuDiY8C3ctxq1tqvaCgkFb8cCA/edit?usp=sharing"",""ศรีสะเกษ!I411"")"),0)</f>
        <v>0</v>
      </c>
      <c r="J516" s="267">
        <f ca="1">IFERROR(__xludf.DUMMYFUNCTION("IMPORTRANGE(""https://docs.google.com/spreadsheets/d/1XL5vhW3sbDhbH9Cz0tuDiY8C3ctxq1tqvaCgkFb8cCA/edit?usp=sharing"",""ศรีสะเกษ!J411"")"),0)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IFERROR(__xludf.DUMMYFUNCTION("IMPORTRANGE(""https://docs.google.com/spreadsheets/d/1XL5vhW3sbDhbH9Cz0tuDiY8C3ctxq1tqvaCgkFb8cCA/edit?usp=sharing"",""ศรีสะเกษ!I412"")"),0)</f>
        <v>0</v>
      </c>
      <c r="J517" s="284">
        <f ca="1">IFERROR(__xludf.DUMMYFUNCTION("IMPORTRANGE(""https://docs.google.com/spreadsheets/d/1XL5vhW3sbDhbH9Cz0tuDiY8C3ctxq1tqvaCgkFb8cCA/edit?usp=sharing"",""ศรีสะเกษ!J412"")"),0)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IFERROR(__xludf.DUMMYFUNCTION("IMPORTRANGE(""https://docs.google.com/spreadsheets/d/1XL5vhW3sbDhbH9Cz0tuDiY8C3ctxq1tqvaCgkFb8cCA/edit?usp=sharing"",""ศรีสะเกษ!I413"")"),0)</f>
        <v>0</v>
      </c>
      <c r="J518" s="284">
        <f ca="1">IFERROR(__xludf.DUMMYFUNCTION("IMPORTRANGE(""https://docs.google.com/spreadsheets/d/1XL5vhW3sbDhbH9Cz0tuDiY8C3ctxq1tqvaCgkFb8cCA/edit?usp=sharing"",""ศรีสะเกษ!J413"")"),0)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IFERROR(__xludf.DUMMYFUNCTION("IMPORTRANGE(""https://docs.google.com/spreadsheets/d/1XL5vhW3sbDhbH9Cz0tuDiY8C3ctxq1tqvaCgkFb8cCA/edit?usp=sharing"",""ศรีสะเกษ!I420"")"),0)</f>
        <v>0</v>
      </c>
      <c r="J525" s="284">
        <f ca="1">IFERROR(__xludf.DUMMYFUNCTION("IMPORTRANGE(""https://docs.google.com/spreadsheets/d/1XL5vhW3sbDhbH9Cz0tuDiY8C3ctxq1tqvaCgkFb8cCA/edit?usp=sharing"",""ศรีสะเกษ!J420"")"),0)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IFERROR(__xludf.DUMMYFUNCTION("IMPORTRANGE(""https://docs.google.com/spreadsheets/d/1XL5vhW3sbDhbH9Cz0tuDiY8C3ctxq1tqvaCgkFb8cCA/edit?usp=sharing"",""ศรีสะเกษ!I421"")"),0)</f>
        <v>0</v>
      </c>
      <c r="J526" s="284">
        <f ca="1">IFERROR(__xludf.DUMMYFUNCTION("IMPORTRANGE(""https://docs.google.com/spreadsheets/d/1XL5vhW3sbDhbH9Cz0tuDiY8C3ctxq1tqvaCgkFb8cCA/edit?usp=sharing"",""ศรีสะเกษ!J421"")"),0)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IFERROR(__xludf.DUMMYFUNCTION("IMPORTRANGE(""https://docs.google.com/spreadsheets/d/1XL5vhW3sbDhbH9Cz0tuDiY8C3ctxq1tqvaCgkFb8cCA/edit?usp=sharing"",""ศรีสะเกษ!M428"")"),22610)</f>
        <v>22610</v>
      </c>
      <c r="O533" s="412">
        <f t="shared" ref="O533:O537" ca="1" si="118">+IF(L533&gt;0,N533*100/L533,0)</f>
        <v>69.270833333333329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IFERROR(__xludf.DUMMYFUNCTION("IMPORTRANGE(""https://docs.google.com/spreadsheets/d/1XL5vhW3sbDhbH9Cz0tuDiY8C3ctxq1tqvaCgkFb8cCA/edit?usp=sharing"",""ศรีสะเกษ!M430"")"),22610)</f>
        <v>22610</v>
      </c>
      <c r="O535" s="169">
        <f t="shared" ca="1" si="118"/>
        <v>69.270833333333329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IFERROR(__xludf.DUMMYFUNCTION("IMPORTRANGE(""https://docs.google.com/spreadsheets/d/1XL5vhW3sbDhbH9Cz0tuDiY8C3ctxq1tqvaCgkFb8cCA/edit?usp=sharing"",""ศรีสะเกษ!M432"")"),22610)</f>
        <v>22610</v>
      </c>
      <c r="O537" s="169">
        <f t="shared" ca="1" si="118"/>
        <v>69.270833333333329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IFERROR(__xludf.DUMMYFUNCTION("IMPORTRANGE(""https://docs.google.com/spreadsheets/d/1XL5vhW3sbDhbH9Cz0tuDiY8C3ctxq1tqvaCgkFb8cCA/edit?usp=sharing"",""ศรีสะเกษ!M436"")"),5570)</f>
        <v>5570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IFERROR(__xludf.DUMMYFUNCTION("IMPORTRANGE(""https://docs.google.com/spreadsheets/d/1XL5vhW3sbDhbH9Cz0tuDiY8C3ctxq1tqvaCgkFb8cCA/edit?usp=sharing"",""ศรีสะเกษ!J459"")"),6972)</f>
        <v>6972</v>
      </c>
      <c r="K564" s="372">
        <f ca="1">IF(I564&gt;0,J564*100/I564,0)</f>
        <v>105.63636363636364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IFERROR(__xludf.DUMMYFUNCTION("IMPORTRANGE(""https://docs.google.com/spreadsheets/d/1XL5vhW3sbDhbH9Cz0tuDiY8C3ctxq1tqvaCgkFb8cCA/edit?usp=sharing"",""ศรีสะเกษ!M459"")"),127633.41)</f>
        <v>127633.41</v>
      </c>
      <c r="O564" s="373">
        <f t="shared" ref="O564:O568" ca="1" si="122">+IF(L564&gt;0,N564*100/L564,0)</f>
        <v>65.520231006160159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IFERROR(__xludf.DUMMYFUNCTION("IMPORTRANGE(""https://docs.google.com/spreadsheets/d/1XL5vhW3sbDhbH9Cz0tuDiY8C3ctxq1tqvaCgkFb8cCA/edit?usp=sharing"",""ศรีสะเกษ!M461"")"),127633.41)</f>
        <v>127633.41</v>
      </c>
      <c r="O566" s="169">
        <f t="shared" ca="1" si="122"/>
        <v>65.520231006160159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IFERROR(__xludf.DUMMYFUNCTION("IMPORTRANGE(""https://docs.google.com/spreadsheets/d/1XL5vhW3sbDhbH9Cz0tuDiY8C3ctxq1tqvaCgkFb8cCA/edit?usp=sharing"",""ศรีสะเกษ!M463"")"),127633.41)</f>
        <v>127633.41</v>
      </c>
      <c r="O568" s="169">
        <f t="shared" ca="1" si="122"/>
        <v>65.520231006160159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IFERROR(__xludf.DUMMYFUNCTION("IMPORTRANGE(""https://docs.google.com/spreadsheets/d/1XL5vhW3sbDhbH9Cz0tuDiY8C3ctxq1tqvaCgkFb8cCA/edit?usp=sharing"",""ศรีสะเกษ!M466"")"),63433.41)</f>
        <v>63433.41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IFERROR(__xludf.DUMMYFUNCTION("IMPORTRANGE(""https://docs.google.com/spreadsheets/d/1XL5vhW3sbDhbH9Cz0tuDiY8C3ctxq1tqvaCgkFb8cCA/edit?usp=sharing"",""ศรีสะเกษ!M467"")"),64200)</f>
        <v>64200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IFERROR(__xludf.DUMMYFUNCTION("IMPORTRANGE(""https://docs.google.com/spreadsheets/d/1XL5vhW3sbDhbH9Cz0tuDiY8C3ctxq1tqvaCgkFb8cCA/edit?usp=sharing"",""ศรีสะเกษ!J468"")"),6972)</f>
        <v>6972</v>
      </c>
      <c r="K573" s="202">
        <f ca="1">IF(I573&gt;0,J573*100/I573,0)</f>
        <v>105.63636363636364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IFERROR(__xludf.DUMMYFUNCTION("IMPORTRANGE(""https://docs.google.com/spreadsheets/d/1XL5vhW3sbDhbH9Cz0tuDiY8C3ctxq1tqvaCgkFb8cCA/edit?usp=sharing"",""ศรีสะเกษ!J471"")"),318)</f>
        <v>318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IFERROR(__xludf.DUMMYFUNCTION("IMPORTRANGE(""https://docs.google.com/spreadsheets/d/1XL5vhW3sbDhbH9Cz0tuDiY8C3ctxq1tqvaCgkFb8cCA/edit?usp=sharing"",""ศรีสะเกษ!J472"")"),6654)</f>
        <v>6654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IFERROR(__xludf.DUMMYFUNCTION("IMPORTRANGE(""https://docs.google.com/spreadsheets/d/1XL5vhW3sbDhbH9Cz0tuDiY8C3ctxq1tqvaCgkFb8cCA/edit?usp=sharing"",""ศรีสะเกษ!J475"")"),99)</f>
        <v>99</v>
      </c>
      <c r="K580" s="372">
        <f ca="1">IF(I580&gt;0,J580*100/I580,0)</f>
        <v>66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IFERROR(__xludf.DUMMYFUNCTION("IMPORTRANGE(""https://docs.google.com/spreadsheets/d/1XL5vhW3sbDhbH9Cz0tuDiY8C3ctxq1tqvaCgkFb8cCA/edit?usp=sharing"",""ศรีสะเกษ!M475"")"),91991.64)</f>
        <v>91991.64</v>
      </c>
      <c r="O580" s="373">
        <f t="shared" ref="O580:O584" ca="1" si="124">+IF(L580&gt;0,N580*100/L580,0)</f>
        <v>25.858507378777229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IFERROR(__xludf.DUMMYFUNCTION("IMPORTRANGE(""https://docs.google.com/spreadsheets/d/1XL5vhW3sbDhbH9Cz0tuDiY8C3ctxq1tqvaCgkFb8cCA/edit?usp=sharing"",""ศรีสะเกษ!M477"")"),91991.64)</f>
        <v>91991.64</v>
      </c>
      <c r="O582" s="169">
        <f t="shared" ca="1" si="124"/>
        <v>25.858507378777229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IFERROR(__xludf.DUMMYFUNCTION("IMPORTRANGE(""https://docs.google.com/spreadsheets/d/1XL5vhW3sbDhbH9Cz0tuDiY8C3ctxq1tqvaCgkFb8cCA/edit?usp=sharing"",""ศรีสะเกษ!M479"")"),91991.64)</f>
        <v>91991.64</v>
      </c>
      <c r="O584" s="169">
        <f t="shared" ca="1" si="124"/>
        <v>25.858507378777229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IFERROR(__xludf.DUMMYFUNCTION("IMPORTRANGE(""https://docs.google.com/spreadsheets/d/1XL5vhW3sbDhbH9Cz0tuDiY8C3ctxq1tqvaCgkFb8cCA/edit?usp=sharing"",""ศรีสะเกษ!M482"")"),73451.64)</f>
        <v>73451.64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IFERROR(__xludf.DUMMYFUNCTION("IMPORTRANGE(""https://docs.google.com/spreadsheets/d/1XL5vhW3sbDhbH9Cz0tuDiY8C3ctxq1tqvaCgkFb8cCA/edit?usp=sharing"",""ศรีสะเกษ!M483"")"),18540)</f>
        <v>18540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IFERROR(__xludf.DUMMYFUNCTION("IMPORTRANGE(""https://docs.google.com/spreadsheets/d/1XL5vhW3sbDhbH9Cz0tuDiY8C3ctxq1tqvaCgkFb8cCA/edit?usp=sharing"",""ศรีสะเกษ!J484"")"),26)</f>
        <v>26</v>
      </c>
      <c r="K589" s="163">
        <f t="shared" ref="K589:K596" ca="1" si="125">IF(I589&gt;0,J589*100/I589,0)</f>
        <v>17.333333333333332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IFERROR(__xludf.DUMMYFUNCTION("IMPORTRANGE(""https://docs.google.com/spreadsheets/d/1XL5vhW3sbDhbH9Cz0tuDiY8C3ctxq1tqvaCgkFb8cCA/edit?usp=sharing"",""ศรีสะเกษ!J485"")"),12.51)</f>
        <v>12.51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IFERROR(__xludf.DUMMYFUNCTION("IMPORTRANGE(""https://docs.google.com/spreadsheets/d/1XL5vhW3sbDhbH9Cz0tuDiY8C3ctxq1tqvaCgkFb8cCA/edit?usp=sharing"",""ศรีสะเกษ!J486"")"),17)</f>
        <v>17</v>
      </c>
      <c r="K591" s="163">
        <f t="shared" ca="1" si="125"/>
        <v>11.333333333333334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IFERROR(__xludf.DUMMYFUNCTION("IMPORTRANGE(""https://docs.google.com/spreadsheets/d/1XL5vhW3sbDhbH9Cz0tuDiY8C3ctxq1tqvaCgkFb8cCA/edit?usp=sharing"",""ศรีสะเกษ!J487"")"),6.8)</f>
        <v>6.8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IFERROR(__xludf.DUMMYFUNCTION("IMPORTRANGE(""https://docs.google.com/spreadsheets/d/1XL5vhW3sbDhbH9Cz0tuDiY8C3ctxq1tqvaCgkFb8cCA/edit?usp=sharing"",""ศรีสะเกษ!J490"")"),99)</f>
        <v>99</v>
      </c>
      <c r="K595" s="163">
        <f t="shared" ca="1" si="125"/>
        <v>66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IFERROR(__xludf.DUMMYFUNCTION("IMPORTRANGE(""https://docs.google.com/spreadsheets/d/1XL5vhW3sbDhbH9Cz0tuDiY8C3ctxq1tqvaCgkFb8cCA/edit?usp=sharing"",""ศรีสะเกษ!I491"")"),0)</f>
        <v>0</v>
      </c>
      <c r="J596" s="241">
        <f ca="1">IFERROR(__xludf.DUMMYFUNCTION("IMPORTRANGE(""https://docs.google.com/spreadsheets/d/1XL5vhW3sbDhbH9Cz0tuDiY8C3ctxq1tqvaCgkFb8cCA/edit?usp=sharing"",""ศรีสะเกษ!J491"")"),39.64)</f>
        <v>39.64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7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IFERROR(__xludf.DUMMYFUNCTION("IMPORTRANGE(""https://docs.google.com/spreadsheets/d/1XL5vhW3sbDhbH9Cz0tuDiY8C3ctxq1tqvaCgkFb8cCA/edit?usp=sharing"",""ศรีสะเกษ!L492"")"),9700)</f>
        <v>9700</v>
      </c>
      <c r="M597" s="412"/>
      <c r="N597" s="412">
        <f ca="1">IFERROR(__xludf.DUMMYFUNCTION("IMPORTRANGE(""https://docs.google.com/spreadsheets/d/1XL5vhW3sbDhbH9Cz0tuDiY8C3ctxq1tqvaCgkFb8cCA/edit?usp=sharing"",""ศรีสะเกษ!M492"")"),2000)</f>
        <v>2000</v>
      </c>
      <c r="O597" s="412">
        <f t="shared" ref="O597:O601" ca="1" si="126">+IF(L597&gt;0,N597*100/L597,0)</f>
        <v>20.618556701030929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IFERROR(__xludf.DUMMYFUNCTION("IMPORTRANGE(""https://docs.google.com/spreadsheets/d/1XL5vhW3sbDhbH9Cz0tuDiY8C3ctxq1tqvaCgkFb8cCA/edit?usp=sharing"",""ศรีสะเกษ!L494"")"),9700)</f>
        <v>9700</v>
      </c>
      <c r="M599" s="165"/>
      <c r="N599" s="169">
        <f ca="1">IFERROR(__xludf.DUMMYFUNCTION("IMPORTRANGE(""https://docs.google.com/spreadsheets/d/1XL5vhW3sbDhbH9Cz0tuDiY8C3ctxq1tqvaCgkFb8cCA/edit?usp=sharing"",""ศรีสะเกษ!M494"")"),2000)</f>
        <v>2000</v>
      </c>
      <c r="O599" s="169">
        <f t="shared" ca="1" si="126"/>
        <v>20.618556701030929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IFERROR(__xludf.DUMMYFUNCTION("IMPORTRANGE(""https://docs.google.com/spreadsheets/d/1XL5vhW3sbDhbH9Cz0tuDiY8C3ctxq1tqvaCgkFb8cCA/edit?usp=sharing"",""ศรีสะเกษ!L496"")"),9700)</f>
        <v>9700</v>
      </c>
      <c r="M601" s="169"/>
      <c r="N601" s="169">
        <f ca="1">IFERROR(__xludf.DUMMYFUNCTION("IMPORTRANGE(""https://docs.google.com/spreadsheets/d/1XL5vhW3sbDhbH9Cz0tuDiY8C3ctxq1tqvaCgkFb8cCA/edit?usp=sharing"",""ศรีสะเกษ!M496"")"),2000)</f>
        <v>2000</v>
      </c>
      <c r="O601" s="169">
        <f t="shared" ca="1" si="126"/>
        <v>20.618556701030929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IFERROR(__xludf.DUMMYFUNCTION("IMPORTRANGE(""https://docs.google.com/spreadsheets/d/1XL5vhW3sbDhbH9Cz0tuDiY8C3ctxq1tqvaCgkFb8cCA/edit?usp=sharing"",""ศรีสะเกษ!M500"")"),2000)</f>
        <v>2000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IFERROR(__xludf.DUMMYFUNCTION("IMPORTRANGE(""https://docs.google.com/spreadsheets/d/1XL5vhW3sbDhbH9Cz0tuDiY8C3ctxq1tqvaCgkFb8cCA/edit?usp=sharing"",""ศรีสะเกษ!J166"")"),0)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IFERROR(__xludf.DUMMYFUNCTION("IMPORTRANGE(""https://docs.google.com/spreadsheets/d/1XL5vhW3sbDhbH9Cz0tuDiY8C3ctxq1tqvaCgkFb8cCA/edit?usp=sharing"",""ศรีสะเกษ!J166"")"),0)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1">
        <f ca="1">IFERROR(__xludf.DUMMYFUNCTION("IMPORTRANGE(""https://docs.google.com/spreadsheets/d/1XL5vhW3sbDhbH9Cz0tuDiY8C3ctxq1tqvaCgkFb8cCA/edit?usp=sharing"",""ศรีสะเกษ!J523"")"),4852424.23)</f>
        <v>4852424.2300000004</v>
      </c>
      <c r="K628" s="342">
        <f t="shared" ref="K628:K635" ca="1" si="129">IF(I628&gt;0,J628*100/I628,0)</f>
        <v>54.031080215987977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IFERROR(__xludf.DUMMYFUNCTION("IMPORTRANGE(""https://docs.google.com/spreadsheets/d/1XL5vhW3sbDhbH9Cz0tuDiY8C3ctxq1tqvaCgkFb8cCA/edit?usp=sharing"",""ศรีสะเกษ!I524"")"),695)</f>
        <v>695</v>
      </c>
      <c r="J629" s="341">
        <f ca="1">IFERROR(__xludf.DUMMYFUNCTION("IMPORTRANGE(""https://docs.google.com/spreadsheets/d/1XL5vhW3sbDhbH9Cz0tuDiY8C3ctxq1tqvaCgkFb8cCA/edit?usp=sharing"",""ศรีสะเกษ!J524"")"),375)</f>
        <v>375</v>
      </c>
      <c r="K629" s="342">
        <f t="shared" ca="1" si="129"/>
        <v>53.956834532374103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1">
        <f ca="1">IFERROR(__xludf.DUMMYFUNCTION("IMPORTRANGE(""https://docs.google.com/spreadsheets/d/1XL5vhW3sbDhbH9Cz0tuDiY8C3ctxq1tqvaCgkFb8cCA/edit?usp=sharing"",""ศรีสะเกษ!J525"")"),3158503.16)</f>
        <v>3158503.16</v>
      </c>
      <c r="K630" s="342">
        <f t="shared" ca="1" si="129"/>
        <v>13.753427064510568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IFERROR(__xludf.DUMMYFUNCTION("IMPORTRANGE(""https://docs.google.com/spreadsheets/d/1XL5vhW3sbDhbH9Cz0tuDiY8C3ctxq1tqvaCgkFb8cCA/edit?usp=sharing"",""ศรีสะเกษ!I526"")"),1393)</f>
        <v>1393</v>
      </c>
      <c r="J631" s="341">
        <f ca="1">IFERROR(__xludf.DUMMYFUNCTION("IMPORTRANGE(""https://docs.google.com/spreadsheets/d/1XL5vhW3sbDhbH9Cz0tuDiY8C3ctxq1tqvaCgkFb8cCA/edit?usp=sharing"",""ศรีสะเกษ!J526"")"),486)</f>
        <v>486</v>
      </c>
      <c r="K631" s="342">
        <f t="shared" ca="1" si="129"/>
        <v>34.888729361091173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1">
        <f ca="1">IFERROR(__xludf.DUMMYFUNCTION("IMPORTRANGE(""https://docs.google.com/spreadsheets/d/1XL5vhW3sbDhbH9Cz0tuDiY8C3ctxq1tqvaCgkFb8cCA/edit?usp=sharing"",""ศรีสะเกษ!J527"")"),562495.56)</f>
        <v>562495.56000000006</v>
      </c>
      <c r="K632" s="342">
        <f t="shared" ca="1" si="129"/>
        <v>30.289871675151474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IFERROR(__xludf.DUMMYFUNCTION("IMPORTRANGE(""https://docs.google.com/spreadsheets/d/1XL5vhW3sbDhbH9Cz0tuDiY8C3ctxq1tqvaCgkFb8cCA/edit?usp=sharing"",""ศรีสะเกษ!I528"")"),105)</f>
        <v>105</v>
      </c>
      <c r="J633" s="341">
        <f ca="1">IFERROR(__xludf.DUMMYFUNCTION("IMPORTRANGE(""https://docs.google.com/spreadsheets/d/1XL5vhW3sbDhbH9Cz0tuDiY8C3ctxq1tqvaCgkFb8cCA/edit?usp=sharing"",""ศรีสะเกษ!J528"")"),62)</f>
        <v>62</v>
      </c>
      <c r="K633" s="342">
        <f t="shared" ca="1" si="129"/>
        <v>59.047619047619051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IFERROR(__xludf.DUMMYFUNCTION("IMPORTRANGE(""https://docs.google.com/spreadsheets/d/1XL5vhW3sbDhbH9Cz0tuDiY8C3ctxq1tqvaCgkFb8cCA/edit?usp=sharing"",""ศรีสะเกษ!I529"")"),8000000)</f>
        <v>8000000</v>
      </c>
      <c r="J634" s="341">
        <f ca="1">IFERROR(__xludf.DUMMYFUNCTION("IMPORTRANGE(""https://docs.google.com/spreadsheets/d/1XL5vhW3sbDhbH9Cz0tuDiY8C3ctxq1tqvaCgkFb8cCA/edit?usp=sharing"",""ศรีสะเกษ!J529"")"),8000000)</f>
        <v>8000000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IFERROR(__xludf.DUMMYFUNCTION("IMPORTRANGE(""https://docs.google.com/spreadsheets/d/1XL5vhW3sbDhbH9Cz0tuDiY8C3ctxq1tqvaCgkFb8cCA/edit?usp=sharing"",""ศรีสะเกษ!I530"")"),200)</f>
        <v>200</v>
      </c>
      <c r="J635" s="504">
        <f ca="1">IFERROR(__xludf.DUMMYFUNCTION("IMPORTRANGE(""https://docs.google.com/spreadsheets/d/1XL5vhW3sbDhbH9Cz0tuDiY8C3ctxq1tqvaCgkFb8cCA/edit?usp=sharing"",""ศรีสะเกษ!J530"")"),240)</f>
        <v>240</v>
      </c>
      <c r="K635" s="486">
        <f t="shared" ca="1" si="129"/>
        <v>120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IFERROR(__xludf.DUMMYFUNCTION("IMPORTRANGE(""https://docs.google.com/spreadsheets/d/1XL5vhW3sbDhbH9Cz0tuDiY8C3ctxq1tqvaCgkFb8cCA/edit#gid=346597447"",""ศรีสะเกษ!J541"")"),0)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IFERROR(__xludf.DUMMYFUNCTION("IMPORTRANGE(""https://docs.google.com/spreadsheets/d/1XL5vhW3sbDhbH9Cz0tuDiY8C3ctxq1tqvaCgkFb8cCA/edit#gid=346597447"",""ศรีสะเกษ!J542"")"),0)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IFERROR(__xludf.DUMMYFUNCTION("IMPORTRANGE(""https://docs.google.com/spreadsheets/d/1XL5vhW3sbDhbH9Cz0tuDiY8C3ctxq1tqvaCgkFb8cCA/edit#gid=346597447"",""ศรีสะเกษ!I543"")"),0)</f>
        <v>0</v>
      </c>
      <c r="J648" s="585">
        <f ca="1">IFERROR(__xludf.DUMMYFUNCTION("IMPORTRANGE(""https://docs.google.com/spreadsheets/d/1XL5vhW3sbDhbH9Cz0tuDiY8C3ctxq1tqvaCgkFb8cCA/edit#gid=346597447"",""ศรีสะเกษ!J543"")"),0)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IFERROR(__xludf.DUMMYFUNCTION("IMPORTRANGE(""https://docs.google.com/spreadsheets/d/1XL5vhW3sbDhbH9Cz0tuDiY8C3ctxq1tqvaCgkFb8cCA/edit#gid=346597447"",""ศรีสะเกษ!L543"")"),0)</f>
        <v>0</v>
      </c>
      <c r="M648" s="570"/>
      <c r="N648" s="587">
        <f ca="1">IFERROR(__xludf.DUMMYFUNCTION("IMPORTRANGE(""https://docs.google.com/spreadsheets/d/1XL5vhW3sbDhbH9Cz0tuDiY8C3ctxq1tqvaCgkFb8cCA/edit#gid=346597447"",""ศรีสะเกษ!M543"")"),0)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IFERROR(__xludf.DUMMYFUNCTION("IMPORTRANGE(""https://docs.google.com/spreadsheets/d/1XL5vhW3sbDhbH9Cz0tuDiY8C3ctxq1tqvaCgkFb8cCA/edit#gid=346597447"",""ศรีสะเกษ!I544"")"),0)</f>
        <v>0</v>
      </c>
      <c r="J649" s="585">
        <f ca="1">IFERROR(__xludf.DUMMYFUNCTION("IMPORTRANGE(""https://docs.google.com/spreadsheets/d/1XL5vhW3sbDhbH9Cz0tuDiY8C3ctxq1tqvaCgkFb8cCA/edit#gid=346597447"",""ศรีสะเกษ!J544"")"),0)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IFERROR(__xludf.DUMMYFUNCTION("IMPORTRANGE(""https://docs.google.com/spreadsheets/d/1XL5vhW3sbDhbH9Cz0tuDiY8C3ctxq1tqvaCgkFb8cCA/edit#gid=346597447"",""ศรีสะเกษ!L544"")"),0)</f>
        <v>0</v>
      </c>
      <c r="M649" s="570"/>
      <c r="N649" s="587">
        <f ca="1">IFERROR(__xludf.DUMMYFUNCTION("IMPORTRANGE(""https://docs.google.com/spreadsheets/d/1XL5vhW3sbDhbH9Cz0tuDiY8C3ctxq1tqvaCgkFb8cCA/edit#gid=346597447"",""ศรีสะเกษ!M544"")"),0)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IFERROR(__xludf.DUMMYFUNCTION("IMPORTRANGE(""https://docs.google.com/spreadsheets/d/1XL5vhW3sbDhbH9Cz0tuDiY8C3ctxq1tqvaCgkFb8cCA/edit#gid=346597447"",""ศรีสะเกษ!I545"")"),0)</f>
        <v>0</v>
      </c>
      <c r="J650" s="585">
        <f ca="1">IFERROR(__xludf.DUMMYFUNCTION("IMPORTRANGE(""https://docs.google.com/spreadsheets/d/1XL5vhW3sbDhbH9Cz0tuDiY8C3ctxq1tqvaCgkFb8cCA/edit#gid=346597447"",""ศรีสะเกษ!J545"")"),0)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IFERROR(__xludf.DUMMYFUNCTION("IMPORTRANGE(""https://docs.google.com/spreadsheets/d/1XL5vhW3sbDhbH9Cz0tuDiY8C3ctxq1tqvaCgkFb8cCA/edit#gid=346597447"",""ศรีสะเกษ!L545"")"),0)</f>
        <v>0</v>
      </c>
      <c r="M650" s="570"/>
      <c r="N650" s="587">
        <f ca="1">IFERROR(__xludf.DUMMYFUNCTION("IMPORTRANGE(""https://docs.google.com/spreadsheets/d/1XL5vhW3sbDhbH9Cz0tuDiY8C3ctxq1tqvaCgkFb8cCA/edit#gid=346597447"",""ศรีสะเกษ!M545"")"),0)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IFERROR(__xludf.DUMMYFUNCTION("IMPORTRANGE(""https://docs.google.com/spreadsheets/d/1XL5vhW3sbDhbH9Cz0tuDiY8C3ctxq1tqvaCgkFb8cCA/edit#gid=346597447"",""ศรีสะเกษ!I546"")"),0)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IFERROR(__xludf.DUMMYFUNCTION("IMPORTRANGE(""https://docs.google.com/spreadsheets/d/1XL5vhW3sbDhbH9Cz0tuDiY8C3ctxq1tqvaCgkFb8cCA/edit#gid=346597447"",""ศรีสะเกษ!L546"")"),0)</f>
        <v>0</v>
      </c>
      <c r="M651" s="570"/>
      <c r="N651" s="587">
        <f ca="1">IFERROR(__xludf.DUMMYFUNCTION("IMPORTRANGE(""https://docs.google.com/spreadsheets/d/1XL5vhW3sbDhbH9Cz0tuDiY8C3ctxq1tqvaCgkFb8cCA/edit#gid=346597447"",""ศรีสะเกษ!M546"")"),0)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IFERROR(__xludf.DUMMYFUNCTION("IMPORTRANGE(""https://docs.google.com/spreadsheets/d/1XL5vhW3sbDhbH9Cz0tuDiY8C3ctxq1tqvaCgkFb8cCA/edit#gid=346597447"",""ศรีสะเกษ!J547"")"),0)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IFERROR(__xludf.DUMMYFUNCTION("IMPORTRANGE(""https://docs.google.com/spreadsheets/d/1XL5vhW3sbDhbH9Cz0tuDiY8C3ctxq1tqvaCgkFb8cCA/edit#gid=346597447"",""ศรีสะเกษ!J548"")"),0)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IFERROR(__xludf.DUMMYFUNCTION("IMPORTRANGE(""https://docs.google.com/spreadsheets/d/1XL5vhW3sbDhbH9Cz0tuDiY8C3ctxq1tqvaCgkFb8cCA/edit#gid=346597447"",""ศรีสะเกษ!J550"")"),0)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IFERROR(__xludf.DUMMYFUNCTION("IMPORTRANGE(""https://docs.google.com/spreadsheets/d/1XL5vhW3sbDhbH9Cz0tuDiY8C3ctxq1tqvaCgkFb8cCA/edit#gid=346597447"",""ศรีสะเกษ!J551"")"),0)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IFERROR(__xludf.DUMMYFUNCTION("IMPORTRANGE(""https://docs.google.com/spreadsheets/d/1XL5vhW3sbDhbH9Cz0tuDiY8C3ctxq1tqvaCgkFb8cCA/edit#gid=346597447"",""ศรีสะเกษ!J552"")"),0)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IFERROR(__xludf.DUMMYFUNCTION("IMPORTRANGE(""https://docs.google.com/spreadsheets/d/1XL5vhW3sbDhbH9Cz0tuDiY8C3ctxq1tqvaCgkFb8cCA/edit#gid=346597447"",""ศรีสะเกษ!J553"")"),0)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IFERROR(__xludf.DUMMYFUNCTION("IMPORTRANGE(""https://docs.google.com/spreadsheets/d/1XL5vhW3sbDhbH9Cz0tuDiY8C3ctxq1tqvaCgkFb8cCA/edit#gid=346597447"",""ศรีสะเกษ!J554"")"),0)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IFERROR(__xludf.DUMMYFUNCTION("IMPORTRANGE(""https://docs.google.com/spreadsheets/d/1XL5vhW3sbDhbH9Cz0tuDiY8C3ctxq1tqvaCgkFb8cCA/edit#gid=346597447"",""ศรีสะเกษ!J555"")"),0)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IFERROR(__xludf.DUMMYFUNCTION("IMPORTRANGE(""https://docs.google.com/spreadsheets/d/1XL5vhW3sbDhbH9Cz0tuDiY8C3ctxq1tqvaCgkFb8cCA/edit#gid=346597447"",""ศรีสะเกษ!J556"")"),0)</f>
        <v>0</v>
      </c>
      <c r="K661" s="586"/>
      <c r="L661" s="571">
        <f ca="1">IFERROR(__xludf.DUMMYFUNCTION("IMPORTRANGE(""https://docs.google.com/spreadsheets/d/1XL5vhW3sbDhbH9Cz0tuDiY8C3ctxq1tqvaCgkFb8cCA/edit#gid=346597447"",""ศรีสะเกษ!L556"")"),0)</f>
        <v>0</v>
      </c>
      <c r="M661" s="570"/>
      <c r="N661" s="587">
        <f ca="1">IFERROR(__xludf.DUMMYFUNCTION("IMPORTRANGE(""https://docs.google.com/spreadsheets/d/1XL5vhW3sbDhbH9Cz0tuDiY8C3ctxq1tqvaCgkFb8cCA/edit#gid=346597447"",""ศรีสะเกษ!M556"")"),0)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IFERROR(__xludf.DUMMYFUNCTION("IMPORTRANGE(""https://docs.google.com/spreadsheets/d/1XL5vhW3sbDhbH9Cz0tuDiY8C3ctxq1tqvaCgkFb8cCA/edit#gid=346597447"",""ศรีสะเกษ!J557"")"),0)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IFERROR(__xludf.DUMMYFUNCTION("IMPORTRANGE(""https://docs.google.com/spreadsheets/d/1XL5vhW3sbDhbH9Cz0tuDiY8C3ctxq1tqvaCgkFb8cCA/edit#gid=346597447"",""ศรีสะเกษ!I558"")"),0)</f>
        <v>0</v>
      </c>
      <c r="J663" s="585">
        <f ca="1">IFERROR(__xludf.DUMMYFUNCTION("IMPORTRANGE(""https://docs.google.com/spreadsheets/d/1XL5vhW3sbDhbH9Cz0tuDiY8C3ctxq1tqvaCgkFb8cCA/edit#gid=346597447"",""ศรีสะเกษ!J558"")"),0)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IFERROR(__xludf.DUMMYFUNCTION("IMPORTRANGE(""https://docs.google.com/spreadsheets/d/1XL5vhW3sbDhbH9Cz0tuDiY8C3ctxq1tqvaCgkFb8cCA/edit#gid=346597447"",""ศรีสะเกษ!I560"")"),0)</f>
        <v>0</v>
      </c>
      <c r="J665" s="585">
        <f ca="1">IFERROR(__xludf.DUMMYFUNCTION("IMPORTRANGE(""https://docs.google.com/spreadsheets/d/1XL5vhW3sbDhbH9Cz0tuDiY8C3ctxq1tqvaCgkFb8cCA/edit#gid=346597447"",""ศรีสะเกษ!J560"")"),0)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IFERROR(__xludf.DUMMYFUNCTION("IMPORTRANGE(""https://docs.google.com/spreadsheets/d/1XL5vhW3sbDhbH9Cz0tuDiY8C3ctxq1tqvaCgkFb8cCA/edit#gid=346597447"",""ศรีสะเกษ!L560"")"),0)</f>
        <v>0</v>
      </c>
      <c r="M665" s="570"/>
      <c r="N665" s="587">
        <f ca="1">IFERROR(__xludf.DUMMYFUNCTION("IMPORTRANGE(""https://docs.google.com/spreadsheets/d/1XL5vhW3sbDhbH9Cz0tuDiY8C3ctxq1tqvaCgkFb8cCA/edit#gid=346597447"",""ศรีสะเกษ!M560"")"),0)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IFERROR(__xludf.DUMMYFUNCTION("IMPORTRANGE(""https://docs.google.com/spreadsheets/d/1XL5vhW3sbDhbH9Cz0tuDiY8C3ctxq1tqvaCgkFb8cCA/edit#gid=346597447"",""ศรีสะเกษ!J561"")"),0)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IFERROR(__xludf.DUMMYFUNCTION("IMPORTRANGE(""https://docs.google.com/spreadsheets/d/1XL5vhW3sbDhbH9Cz0tuDiY8C3ctxq1tqvaCgkFb8cCA/edit#gid=346597447"",""ศรีสะเกษ!J562"")"),0)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IFERROR(__xludf.DUMMYFUNCTION("IMPORTRANGE(""https://docs.google.com/spreadsheets/d/1XL5vhW3sbDhbH9Cz0tuDiY8C3ctxq1tqvaCgkFb8cCA/edit#gid=346597447"",""ศรีสะเกษ!I563"")"),0)</f>
        <v>0</v>
      </c>
      <c r="J668" s="585">
        <f ca="1">IFERROR(__xludf.DUMMYFUNCTION("IMPORTRANGE(""https://docs.google.com/spreadsheets/d/1XL5vhW3sbDhbH9Cz0tuDiY8C3ctxq1tqvaCgkFb8cCA/edit#gid=346597447"",""ศรีสะเกษ!J563"")"),0)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IFERROR(__xludf.DUMMYFUNCTION("IMPORTRANGE(""https://docs.google.com/spreadsheets/d/1XL5vhW3sbDhbH9Cz0tuDiY8C3ctxq1tqvaCgkFb8cCA/edit#gid=346597447"",""ศรีสะเกษ!L563"")"),0)</f>
        <v>0</v>
      </c>
      <c r="M668" s="570"/>
      <c r="N668" s="587">
        <f ca="1">IFERROR(__xludf.DUMMYFUNCTION("IMPORTRANGE(""https://docs.google.com/spreadsheets/d/1XL5vhW3sbDhbH9Cz0tuDiY8C3ctxq1tqvaCgkFb8cCA/edit#gid=346597447"",""ศรีสะเกษ!M563"")"),0)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IFERROR(__xludf.DUMMYFUNCTION("IMPORTRANGE(""https://docs.google.com/spreadsheets/d/1XL5vhW3sbDhbH9Cz0tuDiY8C3ctxq1tqvaCgkFb8cCA/edit#gid=346597447"",""ศรีสะเกษ!J564"")"),0)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IFERROR(__xludf.DUMMYFUNCTION("IMPORTRANGE(""https://docs.google.com/spreadsheets/d/1XL5vhW3sbDhbH9Cz0tuDiY8C3ctxq1tqvaCgkFb8cCA/edit#gid=346597447"",""ศรีสะเกษ!J565"")"),0)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IFERROR(__xludf.DUMMYFUNCTION("IMPORTRANGE(""https://docs.google.com/spreadsheets/d/1XL5vhW3sbDhbH9Cz0tuDiY8C3ctxq1tqvaCgkFb8cCA/edit#gid=346597447"",""ศรีสะเกษ!I566"")"),0)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IFERROR(__xludf.DUMMYFUNCTION("IMPORTRANGE(""https://docs.google.com/spreadsheets/d/1XL5vhW3sbDhbH9Cz0tuDiY8C3ctxq1tqvaCgkFb8cCA/edit#gid=346597447"",""ศรีสะเกษ!L566"")"),0)</f>
        <v>0</v>
      </c>
      <c r="M671" s="570"/>
      <c r="N671" s="587">
        <f ca="1">IFERROR(__xludf.DUMMYFUNCTION("IMPORTRANGE(""https://docs.google.com/spreadsheets/d/1XL5vhW3sbDhbH9Cz0tuDiY8C3ctxq1tqvaCgkFb8cCA/edit#gid=346597447"",""ศรีสะเกษ!M566"")"),0)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IFERROR(__xludf.DUMMYFUNCTION("IMPORTRANGE(""https://docs.google.com/spreadsheets/d/1XL5vhW3sbDhbH9Cz0tuDiY8C3ctxq1tqvaCgkFb8cCA/edit#gid=346597447"",""ศรีสะเกษ!J567"")"),0)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IFERROR(__xludf.DUMMYFUNCTION("IMPORTRANGE(""https://docs.google.com/spreadsheets/d/1XL5vhW3sbDhbH9Cz0tuDiY8C3ctxq1tqvaCgkFb8cCA/edit#gid=346597447"",""ศรีสะเกษ!J568"")"),0)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IFERROR(__xludf.DUMMYFUNCTION("IMPORTRANGE(""https://docs.google.com/spreadsheets/d/1XL5vhW3sbDhbH9Cz0tuDiY8C3ctxq1tqvaCgkFb8cCA/edit#gid=346597447"",""ศรีสะเกษ!J569"")"),0)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IFERROR(__xludf.DUMMYFUNCTION("IMPORTRANGE(""https://docs.google.com/spreadsheets/d/1XL5vhW3sbDhbH9Cz0tuDiY8C3ctxq1tqvaCgkFb8cCA/edit#gid=346597447"",""ศรีสะเกษ!J570"")"),0)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IFERROR(__xludf.DUMMYFUNCTION("IMPORTRANGE(""https://docs.google.com/spreadsheets/d/1XL5vhW3sbDhbH9Cz0tuDiY8C3ctxq1tqvaCgkFb8cCA/edit#gid=346597447"",""ศรีสะเกษ!J571"")"),0)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IFERROR(__xludf.DUMMYFUNCTION("IMPORTRANGE(""https://docs.google.com/spreadsheets/d/1XL5vhW3sbDhbH9Cz0tuDiY8C3ctxq1tqvaCgkFb8cCA/edit#gid=346597447"",""ศรีสะเกษ!J572"")"),0)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3" sqref="G1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4.85546875" customWidth="1"/>
    <col min="8" max="8" width="10.85546875" customWidth="1"/>
    <col min="9" max="9" width="16.5703125" bestFit="1" customWidth="1"/>
    <col min="10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286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6944286</v>
      </c>
      <c r="M8" s="23">
        <f t="shared" ca="1" si="0"/>
        <v>3725730</v>
      </c>
      <c r="N8" s="23">
        <f t="shared" ca="1" si="0"/>
        <v>3910806.42</v>
      </c>
      <c r="O8" s="22">
        <f t="shared" ref="O8:O16" ca="1" si="1">IF(L8&gt;0,N8*100/L8,0)</f>
        <v>56.316897374330495</v>
      </c>
      <c r="P8" s="22">
        <f t="shared" ref="P8:P16" ca="1" si="2">IF(M8&gt;0,N8*100/M8,0)</f>
        <v>104.96752099588537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6944286</v>
      </c>
      <c r="M10" s="30">
        <f t="shared" ca="1" si="4"/>
        <v>3725730</v>
      </c>
      <c r="N10" s="30">
        <f t="shared" ca="1" si="4"/>
        <v>3910806.42</v>
      </c>
      <c r="O10" s="29">
        <f t="shared" ca="1" si="1"/>
        <v>56.316897374330495</v>
      </c>
      <c r="P10" s="29">
        <f t="shared" ca="1" si="2"/>
        <v>104.96752099588537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6757886</v>
      </c>
      <c r="M12" s="38">
        <f t="shared" ca="1" si="6"/>
        <v>3539330</v>
      </c>
      <c r="N12" s="38">
        <f t="shared" ca="1" si="6"/>
        <v>3724406.42</v>
      </c>
      <c r="O12" s="38">
        <f t="shared" ca="1" si="1"/>
        <v>55.112004256952545</v>
      </c>
      <c r="P12" s="38">
        <f t="shared" ca="1" si="2"/>
        <v>105.22913715307699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2335900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4421986</v>
      </c>
      <c r="M14" s="38">
        <f t="shared" si="8"/>
        <v>0</v>
      </c>
      <c r="N14" s="38">
        <f t="shared" ca="1" si="8"/>
        <v>1100172.27</v>
      </c>
      <c r="O14" s="38">
        <f t="shared" ca="1" si="1"/>
        <v>24.879596407586998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186400</v>
      </c>
      <c r="M16" s="38">
        <f t="shared" ca="1" si="10"/>
        <v>186400</v>
      </c>
      <c r="N16" s="38">
        <f t="shared" ca="1" si="10"/>
        <v>186400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4665260</v>
      </c>
      <c r="M18" s="23">
        <f t="shared" ca="1" si="11"/>
        <v>3725730</v>
      </c>
      <c r="N18" s="23">
        <f t="shared" ca="1" si="11"/>
        <v>2810634.15</v>
      </c>
      <c r="O18" s="22">
        <f t="shared" ref="O18:O20" ca="1" si="12">IF(L18&gt;0,N18*100/L18,0)</f>
        <v>60.246034518976437</v>
      </c>
      <c r="P18" s="22">
        <f t="shared" ref="P18:P26" ca="1" si="13">IF(M18&gt;0,N18*100/M18,0)</f>
        <v>75.438481854562724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4665260</v>
      </c>
      <c r="M20" s="30">
        <f t="shared" ca="1" si="15"/>
        <v>3725730</v>
      </c>
      <c r="N20" s="30">
        <f t="shared" ca="1" si="15"/>
        <v>2810634.15</v>
      </c>
      <c r="O20" s="29">
        <f t="shared" ca="1" si="12"/>
        <v>60.246034518976437</v>
      </c>
      <c r="P20" s="29">
        <f t="shared" ca="1" si="13"/>
        <v>75.438481854562724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4478860</v>
      </c>
      <c r="M22" s="41">
        <f t="shared" ca="1" si="18"/>
        <v>3539330</v>
      </c>
      <c r="N22" s="38">
        <f t="shared" ca="1" si="18"/>
        <v>2624234.15</v>
      </c>
      <c r="O22" s="38">
        <f t="shared" ca="1" si="17"/>
        <v>58.591564594562008</v>
      </c>
      <c r="P22" s="38">
        <f t="shared" ca="1" si="13"/>
        <v>74.144941274195958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2335900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2142960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186400</v>
      </c>
      <c r="M26" s="49">
        <f t="shared" ca="1" si="22"/>
        <v>186400</v>
      </c>
      <c r="N26" s="49">
        <f t="shared" ca="1" si="22"/>
        <v>186400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2279026</v>
      </c>
      <c r="M28" s="23">
        <f t="shared" si="23"/>
        <v>0</v>
      </c>
      <c r="N28" s="23">
        <f t="shared" ca="1" si="23"/>
        <v>1100172.27</v>
      </c>
      <c r="O28" s="22">
        <f t="shared" ref="O28:O30" ca="1" si="24">IF(L28&gt;0,N28*100/L28,0)</f>
        <v>48.273791962004822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2279026</v>
      </c>
      <c r="M30" s="30">
        <f t="shared" si="27"/>
        <v>0</v>
      </c>
      <c r="N30" s="30">
        <f t="shared" ca="1" si="27"/>
        <v>1100172.27</v>
      </c>
      <c r="O30" s="29">
        <f t="shared" ca="1" si="24"/>
        <v>48.273791962004822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2279026</v>
      </c>
      <c r="M32" s="38">
        <f t="shared" si="30"/>
        <v>0</v>
      </c>
      <c r="N32" s="38">
        <f t="shared" ca="1" si="30"/>
        <v>1100172.27</v>
      </c>
      <c r="O32" s="38">
        <f t="shared" ca="1" si="29"/>
        <v>48.273791962004822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2279026</v>
      </c>
      <c r="M34" s="38">
        <f t="shared" si="32"/>
        <v>0</v>
      </c>
      <c r="N34" s="38">
        <f t="shared" ca="1" si="32"/>
        <v>1100172.27</v>
      </c>
      <c r="O34" s="38">
        <f t="shared" ca="1" si="29"/>
        <v>48.273791962004822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4665260</v>
      </c>
      <c r="M37" s="54">
        <f t="shared" ca="1" si="33"/>
        <v>3725730</v>
      </c>
      <c r="N37" s="54">
        <f t="shared" ca="1" si="33"/>
        <v>2810634.1500000004</v>
      </c>
      <c r="O37" s="55">
        <f t="shared" ca="1" si="29"/>
        <v>60.246034518976444</v>
      </c>
      <c r="P37" s="55">
        <f t="shared" ca="1" si="25"/>
        <v>75.438481854562752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882500</v>
      </c>
      <c r="M41" s="78">
        <f t="shared" ca="1" si="34"/>
        <v>709500</v>
      </c>
      <c r="N41" s="78">
        <f t="shared" ca="1" si="34"/>
        <v>581342.56000000006</v>
      </c>
      <c r="O41" s="77">
        <f t="shared" ref="O41:O43" ca="1" si="35">IF(L41&gt;0,N41*100/L41,0)</f>
        <v>65.874511048158652</v>
      </c>
      <c r="P41" s="77">
        <f t="shared" ref="P41:P43" ca="1" si="36">IF(M41&gt;0,N41*100/M41,0)</f>
        <v>81.936935870331226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882500</v>
      </c>
      <c r="M43" s="78">
        <f t="shared" ca="1" si="38"/>
        <v>709500</v>
      </c>
      <c r="N43" s="78">
        <f t="shared" ca="1" si="38"/>
        <v>581342.56000000006</v>
      </c>
      <c r="O43" s="77">
        <f t="shared" ca="1" si="35"/>
        <v>65.874511048158652</v>
      </c>
      <c r="P43" s="77">
        <f t="shared" ca="1" si="36"/>
        <v>81.936935870331226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788100</v>
      </c>
      <c r="M45" s="622">
        <f ca="1">IFERROR(__xludf.DUMMYFUNCTION("IMPORTRANGE(""https://docs.google.com/spreadsheets/d/1Yj_ptqi66GCucihVvJfMjLAmec39IyEx_6qawtMGysU/edit?usp=sharing"",""สบก!Q51"")"),615100)</f>
        <v>615100</v>
      </c>
      <c r="N45" s="622">
        <f ca="1">IFERROR(__xludf.DUMMYFUNCTION("IMPORTRANGE(""https://docs.google.com/spreadsheets/d/1Yj_ptqi66GCucihVvJfMjLAmec39IyEx_6qawtMGysU/edit?usp=sharing"",""สบก!R51"")"),486942.56)</f>
        <v>486942.56</v>
      </c>
      <c r="O45" s="623">
        <f ca="1">IF(L45&gt;0,N45*100/L45,0)</f>
        <v>61.786900139576197</v>
      </c>
      <c r="P45" s="623">
        <f ca="1">IF(M45&gt;0,N45*100/M45,0)</f>
        <v>79.164779710616159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IFERROR(__xludf.DUMMYFUNCTION("IMPORTRANGE(""https://docs.google.com/spreadsheets/d/1Yj_ptqi66GCucihVvJfMjLAmec39IyEx_6qawtMGysU/edit?usp=sharing"",""สบก!M51"")"),788100)</f>
        <v>788100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IFERROR(__xludf.DUMMYFUNCTION("IMPORTRANGE(""https://docs.google.com/spreadsheets/d/1Yj_ptqi66GCucihVvJfMjLAmec39IyEx_6qawtMGysU/edit?usp=sharing"",""สบก!N51"")"),0)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IFERROR(__xludf.DUMMYFUNCTION("IMPORTRANGE(""https://docs.google.com/spreadsheets/d/1Yj_ptqi66GCucihVvJfMjLAmec39IyEx_6qawtMGysU/edit?usp=sharing"",""สบก!O51"")"),94400)</f>
        <v>94400</v>
      </c>
      <c r="M49" s="625">
        <f ca="1">L49</f>
        <v>94400</v>
      </c>
      <c r="N49" s="622">
        <f ca="1">IFERROR(__xludf.DUMMYFUNCTION("IMPORTRANGE(""https://docs.google.com/spreadsheets/d/1Yj_ptqi66GCucihVvJfMjLAmec39IyEx_6qawtMGysU/edit?usp=sharing"",""สบก!S51"")"),94400)</f>
        <v>94400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772800</v>
      </c>
      <c r="M53" s="121">
        <f t="shared" ca="1" si="39"/>
        <v>586990</v>
      </c>
      <c r="N53" s="121">
        <f t="shared" ca="1" si="39"/>
        <v>531558.32999999996</v>
      </c>
      <c r="O53" s="120">
        <f t="shared" ref="O53:O55" ca="1" si="40">IF(L53&gt;0,N53*100/L53,0)</f>
        <v>68.783427795031045</v>
      </c>
      <c r="P53" s="120">
        <f t="shared" ref="P53:P55" ca="1" si="41">IF(M53&gt;0,N53*100/M53,0)</f>
        <v>90.556624474011471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772800</v>
      </c>
      <c r="M55" s="121">
        <f t="shared" ca="1" si="43"/>
        <v>586990</v>
      </c>
      <c r="N55" s="121">
        <f t="shared" ca="1" si="43"/>
        <v>531558.32999999996</v>
      </c>
      <c r="O55" s="120">
        <f t="shared" ca="1" si="40"/>
        <v>68.783427795031045</v>
      </c>
      <c r="P55" s="120">
        <f t="shared" ca="1" si="41"/>
        <v>90.556624474011471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772800</v>
      </c>
      <c r="M57" s="622">
        <f ca="1">IFERROR(__xludf.DUMMYFUNCTION("IMPORTRANGE(""https://docs.google.com/spreadsheets/d/1Yj_ptqi66GCucihVvJfMjLAmec39IyEx_6qawtMGysU/edit?usp=sharing"",""สบก!Z51"")"),586990)</f>
        <v>586990</v>
      </c>
      <c r="N57" s="622">
        <f ca="1">IFERROR(__xludf.DUMMYFUNCTION("IMPORTRANGE(""https://docs.google.com/spreadsheets/d/1Yj_ptqi66GCucihVvJfMjLAmec39IyEx_6qawtMGysU/edit?usp=sharing"",""สบก!AA51"")"),531558.33)</f>
        <v>531558.32999999996</v>
      </c>
      <c r="O57" s="623">
        <f ca="1">IF(L57&gt;0,N57*100/L57,0)</f>
        <v>68.783427795031045</v>
      </c>
      <c r="P57" s="623">
        <f ca="1">IF(M57&gt;0,N57*100/M57,0)</f>
        <v>90.556624474011471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IFERROR(__xludf.DUMMYFUNCTION("IMPORTRANGE(""https://docs.google.com/spreadsheets/d/1Yj_ptqi66GCucihVvJfMjLAmec39IyEx_6qawtMGysU/edit?usp=sharing"",""สบก!V51"")"),772800)</f>
        <v>772800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IFERROR(__xludf.DUMMYFUNCTION("IMPORTRANGE(""https://docs.google.com/spreadsheets/d/1Yj_ptqi66GCucihVvJfMjLAmec39IyEx_6qawtMGysU/edit?usp=sharing"",""สบก!W51"")"),0)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IFERROR(__xludf.DUMMYFUNCTION("IMPORTRANGE(""https://docs.google.com/spreadsheets/d/1Yj_ptqi66GCucihVvJfMjLAmec39IyEx_6qawtMGysU/edit?usp=sharing"",""สบก!X51"")"),0)</f>
        <v>0</v>
      </c>
      <c r="M61" s="625"/>
      <c r="N61" s="622">
        <f ca="1">IFERROR(__xludf.DUMMYFUNCTION("IMPORTRANGE(""https://docs.google.com/spreadsheets/d/1Yj_ptqi66GCucihVvJfMjLAmec39IyEx_6qawtMGysU/edit?usp=sharing"",""สบก!AB51"")"),0)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577000</v>
      </c>
      <c r="M66" s="152">
        <f t="shared" ca="1" si="45"/>
        <v>502320</v>
      </c>
      <c r="N66" s="152">
        <f t="shared" ca="1" si="45"/>
        <v>269910.59999999998</v>
      </c>
      <c r="O66" s="151">
        <f t="shared" ref="O66:O68" ca="1" si="46">IF(L66&gt;0,N66*100/L66,0)</f>
        <v>46.77826689774696</v>
      </c>
      <c r="P66" s="151">
        <f t="shared" ref="P66:P68" ca="1" si="47">IF(M66&gt;0,N66*100/M66,0)</f>
        <v>53.73279980888676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577000</v>
      </c>
      <c r="M68" s="157">
        <f t="shared" ca="1" si="49"/>
        <v>502320</v>
      </c>
      <c r="N68" s="157">
        <f t="shared" ca="1" si="49"/>
        <v>269910.59999999998</v>
      </c>
      <c r="O68" s="156">
        <f t="shared" ca="1" si="46"/>
        <v>46.77826689774696</v>
      </c>
      <c r="P68" s="156">
        <f t="shared" ca="1" si="47"/>
        <v>53.73279980888676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577000</v>
      </c>
      <c r="M70" s="626">
        <f ca="1">IFERROR(__xludf.DUMMYFUNCTION("IMPORTRANGE(""https://docs.google.com/spreadsheets/d/1Yj_ptqi66GCucihVvJfMjLAmec39IyEx_6qawtMGysU/edit?usp=sharing"",""สบก!AI51"")"),502320)</f>
        <v>502320</v>
      </c>
      <c r="N70" s="627">
        <f ca="1">IFERROR(__xludf.DUMMYFUNCTION("IMPORTRANGE(""https://docs.google.com/spreadsheets/d/1Yj_ptqi66GCucihVvJfMjLAmec39IyEx_6qawtMGysU/edit?usp=sharing"",""สบก!AJ51"")"),269910.6)</f>
        <v>269910.59999999998</v>
      </c>
      <c r="O70" s="169">
        <f ca="1">IF(L70&gt;0,N70*100/L70,0)</f>
        <v>46.77826689774696</v>
      </c>
      <c r="P70" s="169">
        <f ca="1">IF(M70&gt;0,N70*100/M70,0)</f>
        <v>53.73279980888676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IFERROR(__xludf.DUMMYFUNCTION("IMPORTRANGE(""https://docs.google.com/spreadsheets/d/1Yj_ptqi66GCucihVvJfMjLAmec39IyEx_6qawtMGysU/edit?usp=sharing"",""สบก!AF51"")"),372000)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IFERROR(__xludf.DUMMYFUNCTION("IMPORTRANGE(""https://docs.google.com/spreadsheets/d/1Yj_ptqi66GCucihVvJfMjLAmec39IyEx_6qawtMGysU/edit?usp=sharing"",""สบก!AG51"")"),0)</f>
        <v>0</v>
      </c>
      <c r="M74" s="625"/>
      <c r="N74" s="622">
        <f ca="1">IFERROR(__xludf.DUMMYFUNCTION("IMPORTRANGE(""https://docs.google.com/spreadsheets/d/1Yj_ptqi66GCucihVvJfMjLAmec39IyEx_6qawtMGysU/edit?usp=sharing"",""สบก!AK51"")"),0)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IFERROR(__xludf.DUMMYFUNCTION("IMPORTRANGE(""https://docs.google.com/spreadsheets/d/1XL5vhW3sbDhbH9Cz0tuDiY8C3ctxq1tqvaCgkFb8cCA/edit?usp=sharing"",""สกลนคร!I28"")"),0)</f>
        <v>0</v>
      </c>
      <c r="J88" s="204">
        <f ca="1">IFERROR(__xludf.DUMMYFUNCTION("IMPORTRANGE(""https://docs.google.com/spreadsheets/d/1XL5vhW3sbDhbH9Cz0tuDiY8C3ctxq1tqvaCgkFb8cCA/edit?usp=sharing"",""สกลนคร!J28"")"),0)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IFERROR(__xludf.DUMMYFUNCTION("IMPORTRANGE(""https://docs.google.com/spreadsheets/d/1XL5vhW3sbDhbH9Cz0tuDiY8C3ctxq1tqvaCgkFb8cCA/edit?usp=sharing"",""สกลนคร!J30"")"),0)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143730</v>
      </c>
      <c r="O94" s="151">
        <f t="shared" ref="O94:O96" ca="1" si="53">IF(L94&gt;0,N94*100/L94,0)</f>
        <v>67.13218122372723</v>
      </c>
      <c r="P94" s="151">
        <f t="shared" ref="P94:P96" ca="1" si="54">IF(M94&gt;0,N94*100/M94,0)</f>
        <v>74.066630594419109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194055</v>
      </c>
      <c r="N96" s="157">
        <f t="shared" ca="1" si="56"/>
        <v>143730</v>
      </c>
      <c r="O96" s="156">
        <f t="shared" ca="1" si="53"/>
        <v>67.13218122372723</v>
      </c>
      <c r="P96" s="156">
        <f t="shared" ca="1" si="54"/>
        <v>74.066630594419109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IFERROR(__xludf.DUMMYFUNCTION("IMPORTRANGE(""https://docs.google.com/spreadsheets/d/1Yj_ptqi66GCucihVvJfMjLAmec39IyEx_6qawtMGysU/edit?usp=sharing"",""สบก!AR51"")"),102055)</f>
        <v>102055</v>
      </c>
      <c r="N98" s="627">
        <f ca="1">IFERROR(__xludf.DUMMYFUNCTION("IMPORTRANGE(""https://docs.google.com/spreadsheets/d/1Yj_ptqi66GCucihVvJfMjLAmec39IyEx_6qawtMGysU/edit?usp=sharing"",""สบก!AS51"")"),51730)</f>
        <v>51730</v>
      </c>
      <c r="O98" s="169">
        <f ca="1">IF(L98&gt;0,N98*100/L98,0)</f>
        <v>42.366912366912366</v>
      </c>
      <c r="P98" s="169">
        <f ca="1">IF(M98&gt;0,N98*100/M98,0)</f>
        <v>50.688354318749695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IFERROR(__xludf.DUMMYFUNCTION("IMPORTRANGE(""https://docs.google.com/spreadsheets/d/1Yj_ptqi66GCucihVvJfMjLAmec39IyEx_6qawtMGysU/edit?usp=sharing"",""สบก!AP51"")"),92000)</f>
        <v>92000</v>
      </c>
      <c r="M102" s="625">
        <f ca="1">L102</f>
        <v>92000</v>
      </c>
      <c r="N102" s="622">
        <f ca="1">IFERROR(__xludf.DUMMYFUNCTION("IMPORTRANGE(""https://docs.google.com/spreadsheets/d/1Yj_ptqi66GCucihVvJfMjLAmec39IyEx_6qawtMGysU/edit?usp=sharing"",""สบก!AT51"")"),92000)</f>
        <v>92000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IFERROR(__xludf.DUMMYFUNCTION("IMPORTRANGE(""https://docs.google.com/spreadsheets/d/1XL5vhW3sbDhbH9Cz0tuDiY8C3ctxq1tqvaCgkFb8cCA/edit?usp=sharing"",""สกลนคร!J50"")"),0)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IFERROR(__xludf.DUMMYFUNCTION("IMPORTRANGE(""https://docs.google.com/spreadsheets/d/1Yj_ptqi66GCucihVvJfMjLAmec39IyEx_6qawtMGysU/edit?usp=sharing"",""สบก!BA51"")"),0)</f>
        <v>0</v>
      </c>
      <c r="N122" s="627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IFERROR(__xludf.DUMMYFUNCTION("IMPORTRANGE(""https://docs.google.com/spreadsheets/d/1Yj_ptqi66GCucihVvJfMjLAmec39IyEx_6qawtMGysU/edit?usp=sharing"",""สบก!AY51"")"),0)</f>
        <v>0</v>
      </c>
      <c r="M126" s="625"/>
      <c r="N126" s="622">
        <f ca="1">IFERROR(__xludf.DUMMYFUNCTION("IMPORTRANGE(""https://docs.google.com/spreadsheets/d/1Yj_ptqi66GCucihVvJfMjLAmec39IyEx_6qawtMGysU/edit?usp=sharing"",""สบก!BC51"")"),0)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287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IFERROR(__xludf.DUMMYFUNCTION("IMPORTRANGE(""https://docs.google.com/spreadsheets/d/1XL5vhW3sbDhbH9Cz0tuDiY8C3ctxq1tqvaCgkFb8cCA/edit?usp=sharing"",""สกลนคร!J65"")"),0)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IFERROR(__xludf.DUMMYFUNCTION("IMPORTRANGE(""https://docs.google.com/spreadsheets/d/1XL5vhW3sbDhbH9Cz0tuDiY8C3ctxq1tqvaCgkFb8cCA/edit?usp=sharing"",""สกลนคร!I68"")"),50)</f>
        <v>50</v>
      </c>
      <c r="J138" s="267">
        <f ca="1">IFERROR(__xludf.DUMMYFUNCTION("IMPORTRANGE(""https://docs.google.com/spreadsheets/d/1XL5vhW3sbDhbH9Cz0tuDiY8C3ctxq1tqvaCgkFb8cCA/edit?usp=sharing"",""สกลนคร!J68"")"),50)</f>
        <v>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619500</v>
      </c>
      <c r="M140" s="152">
        <f t="shared" ca="1" si="64"/>
        <v>503025</v>
      </c>
      <c r="N140" s="152">
        <f t="shared" ca="1" si="64"/>
        <v>338827.49</v>
      </c>
      <c r="O140" s="151">
        <f t="shared" ref="O140:O142" ca="1" si="65">IF(L140&gt;0,N140*100/L140,0)</f>
        <v>54.693702986279256</v>
      </c>
      <c r="P140" s="151">
        <f t="shared" ref="P140:P142" ca="1" si="66">IF(M140&gt;0,N140*100/M140,0)</f>
        <v>67.357982207643758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619500</v>
      </c>
      <c r="M142" s="157">
        <f t="shared" ca="1" si="68"/>
        <v>503025</v>
      </c>
      <c r="N142" s="157">
        <f t="shared" ca="1" si="68"/>
        <v>338827.49</v>
      </c>
      <c r="O142" s="156">
        <f t="shared" ca="1" si="65"/>
        <v>54.693702986279256</v>
      </c>
      <c r="P142" s="156">
        <f t="shared" ca="1" si="66"/>
        <v>67.357982207643758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619500</v>
      </c>
      <c r="M144" s="626">
        <f ca="1">IFERROR(__xludf.DUMMYFUNCTION("IMPORTRANGE(""https://docs.google.com/spreadsheets/d/1Yj_ptqi66GCucihVvJfMjLAmec39IyEx_6qawtMGysU/edit?usp=sharing"",""สบก!BJ51"")"),503025)</f>
        <v>503025</v>
      </c>
      <c r="N144" s="627">
        <f ca="1">IFERROR(__xludf.DUMMYFUNCTION("IMPORTRANGE(""https://docs.google.com/spreadsheets/d/1Yj_ptqi66GCucihVvJfMjLAmec39IyEx_6qawtMGysU/edit?usp=sharing"",""สบก!BK51"")"),338827.49)</f>
        <v>338827.49</v>
      </c>
      <c r="O144" s="169">
        <f ca="1">IF(L144&gt;0,N144*100/L144,0)</f>
        <v>54.693702986279256</v>
      </c>
      <c r="P144" s="169">
        <f ca="1">IF(M144&gt;0,N144*100/M144,0)</f>
        <v>67.357982207643758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IFERROR(__xludf.DUMMYFUNCTION("IMPORTRANGE(""https://docs.google.com/spreadsheets/d/1Yj_ptqi66GCucihVvJfMjLAmec39IyEx_6qawtMGysU/edit?usp=sharing"",""สบก!BG51"")"),355500)</f>
        <v>355500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IFERROR(__xludf.DUMMYFUNCTION("IMPORTRANGE(""https://docs.google.com/spreadsheets/d/1Yj_ptqi66GCucihVvJfMjLAmec39IyEx_6qawtMGysU/edit?usp=sharing"",""สบก!BH51"")"),0)</f>
        <v>0</v>
      </c>
      <c r="M148" s="625"/>
      <c r="N148" s="622">
        <f ca="1">IFERROR(__xludf.DUMMYFUNCTION("IMPORTRANGE(""https://docs.google.com/spreadsheets/d/1Yj_ptqi66GCucihVvJfMjLAmec39IyEx_6qawtMGysU/edit?usp=sharing"",""สบก!BL51"")"),0)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IFERROR(__xludf.DUMMYFUNCTION("IMPORTRANGE(""https://docs.google.com/spreadsheets/d/1XL5vhW3sbDhbH9Cz0tuDiY8C3ctxq1tqvaCgkFb8cCA/edit?usp=sharing"",""สกลนคร!I74"")"),4)</f>
        <v>4</v>
      </c>
      <c r="J149" s="275">
        <f ca="1">IFERROR(__xludf.DUMMYFUNCTION("IMPORTRANGE(""https://docs.google.com/spreadsheets/d/1XL5vhW3sbDhbH9Cz0tuDiY8C3ctxq1tqvaCgkFb8cCA/edit?usp=sharing"",""สกลนคร!J74"")"),2)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IFERROR(__xludf.DUMMYFUNCTION("IMPORTRANGE(""https://docs.google.com/spreadsheets/d/1XL5vhW3sbDhbH9Cz0tuDiY8C3ctxq1tqvaCgkFb8cCA/edit?usp=sharing"",""สกลนคร!J84"")"),150)</f>
        <v>150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IFERROR(__xludf.DUMMYFUNCTION("IMPORTRANGE(""https://docs.google.com/spreadsheets/d/1XL5vhW3sbDhbH9Cz0tuDiY8C3ctxq1tqvaCgkFb8cCA/edit?usp=sharing"",""สกลนคร!J85"")"),150)</f>
        <v>150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IFERROR(__xludf.DUMMYFUNCTION("IMPORTRANGE(""https://docs.google.com/spreadsheets/d/1XL5vhW3sbDhbH9Cz0tuDiY8C3ctxq1tqvaCgkFb8cCA/edit?usp=sharing"",""สกลนคร!J88"")"),0)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IFERROR(__xludf.DUMMYFUNCTION("IMPORTRANGE(""https://docs.google.com/spreadsheets/d/1XL5vhW3sbDhbH9Cz0tuDiY8C3ctxq1tqvaCgkFb8cCA/edit?usp=sharing"",""สกลนคร!I89"")"),3)</f>
        <v>3</v>
      </c>
      <c r="J164" s="284">
        <f ca="1">IFERROR(__xludf.DUMMYFUNCTION("IMPORTRANGE(""https://docs.google.com/spreadsheets/d/1XL5vhW3sbDhbH9Cz0tuDiY8C3ctxq1tqvaCgkFb8cCA/edit?usp=sharing"",""สกลนคร!J89"")"),3)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IFERROR(__xludf.DUMMYFUNCTION("IMPORTRANGE(""https://docs.google.com/spreadsheets/d/1XL5vhW3sbDhbH9Cz0tuDiY8C3ctxq1tqvaCgkFb8cCA/edit?usp=sharing"",""สกลนคร!J100"")"),0)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IFERROR(__xludf.DUMMYFUNCTION("IMPORTRANGE(""https://docs.google.com/spreadsheets/d/1XL5vhW3sbDhbH9Cz0tuDiY8C3ctxq1tqvaCgkFb8cCA/edit?usp=sharing"",""สกลนคร!I101"")"),0)</f>
        <v>0</v>
      </c>
      <c r="J176" s="284">
        <f ca="1">IFERROR(__xludf.DUMMYFUNCTION("IMPORTRANGE(""https://docs.google.com/spreadsheets/d/1XL5vhW3sbDhbH9Cz0tuDiY8C3ctxq1tqvaCgkFb8cCA/edit?usp=sharing"",""สกลนคร!J101"")"),0)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IFERROR(__xludf.DUMMYFUNCTION("IMPORTRANGE(""https://docs.google.com/spreadsheets/d/1XL5vhW3sbDhbH9Cz0tuDiY8C3ctxq1tqvaCgkFb8cCA/edit?usp=sharing"",""สกลนคร!J113"")"),0)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IFERROR(__xludf.DUMMYFUNCTION("IMPORTRANGE(""https://docs.google.com/spreadsheets/d/1XL5vhW3sbDhbH9Cz0tuDiY8C3ctxq1tqvaCgkFb8cCA/edit?usp=sharing"",""สกลนคร!I114"")"),12800)</f>
        <v>12800</v>
      </c>
      <c r="J189" s="284">
        <f ca="1">IFERROR(__xludf.DUMMYFUNCTION("IMPORTRANGE(""https://docs.google.com/spreadsheets/d/1XL5vhW3sbDhbH9Cz0tuDiY8C3ctxq1tqvaCgkFb8cCA/edit?usp=sharing"",""สกลนคร!J114"")"),0)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IFERROR(__xludf.DUMMYFUNCTION("IMPORTRANGE(""https://docs.google.com/spreadsheets/d/1XL5vhW3sbDhbH9Cz0tuDiY8C3ctxq1tqvaCgkFb8cCA/edit?usp=sharing"",""สกลนคร!J128"")"),0)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IFERROR(__xludf.DUMMYFUNCTION("IMPORTRANGE(""https://docs.google.com/spreadsheets/d/1XL5vhW3sbDhbH9Cz0tuDiY8C3ctxq1tqvaCgkFb8cCA/edit?usp=sharing"",""สกลนคร!I129"")"),50)</f>
        <v>50</v>
      </c>
      <c r="J204" s="284">
        <f ca="1">IFERROR(__xludf.DUMMYFUNCTION("IMPORTRANGE(""https://docs.google.com/spreadsheets/d/1XL5vhW3sbDhbH9Cz0tuDiY8C3ctxq1tqvaCgkFb8cCA/edit?usp=sharing"",""สกลนคร!J129"")"),50)</f>
        <v>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IFERROR(__xludf.DUMMYFUNCTION("IMPORTRANGE(""https://docs.google.com/spreadsheets/d/1XL5vhW3sbDhbH9Cz0tuDiY8C3ctxq1tqvaCgkFb8cCA/edit?usp=sharing"",""สกลนคร!J143"")"),0)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IFERROR(__xludf.DUMMYFUNCTION("IMPORTRANGE(""https://docs.google.com/spreadsheets/d/1XL5vhW3sbDhbH9Cz0tuDiY8C3ctxq1tqvaCgkFb8cCA/edit?usp=sharing"",""สกลนคร!I144"")"),14)</f>
        <v>14</v>
      </c>
      <c r="J219" s="267">
        <f ca="1">IFERROR(__xludf.DUMMYFUNCTION("IMPORTRANGE(""https://docs.google.com/spreadsheets/d/1XL5vhW3sbDhbH9Cz0tuDiY8C3ctxq1tqvaCgkFb8cCA/edit?usp=sharing"",""สกลนคร!J144"")"),14)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IFERROR(__xludf.DUMMYFUNCTION("IMPORTRANGE(""https://docs.google.com/spreadsheets/d/1Yj_ptqi66GCucihVvJfMjLAmec39IyEx_6qawtMGysU/edit?usp=sharing"",""สบก!BS51"")"),20210)</f>
        <v>20210</v>
      </c>
      <c r="N224" s="627">
        <f ca="1">IFERROR(__xludf.DUMMYFUNCTION("IMPORTRANGE(""https://docs.google.com/spreadsheets/d/1Yj_ptqi66GCucihVvJfMjLAmec39IyEx_6qawtMGysU/edit?usp=sharing"",""สบก!BT51"")"),20210)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IFERROR(__xludf.DUMMYFUNCTION("IMPORTRANGE(""https://docs.google.com/spreadsheets/d/1Yj_ptqi66GCucihVvJfMjLAmec39IyEx_6qawtMGysU/edit?usp=sharing"",""สบก!BP51"")"),20210)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IFERROR(__xludf.DUMMYFUNCTION("IMPORTRANGE(""https://docs.google.com/spreadsheets/d/1Yj_ptqi66GCucihVvJfMjLAmec39IyEx_6qawtMGysU/edit?usp=sharing"",""สบก!BQ51"")"),0)</f>
        <v>0</v>
      </c>
      <c r="M228" s="625"/>
      <c r="N228" s="622">
        <f ca="1">IFERROR(__xludf.DUMMYFUNCTION("IMPORTRANGE(""https://docs.google.com/spreadsheets/d/1Yj_ptqi66GCucihVvJfMjLAmec39IyEx_6qawtMGysU/edit?usp=sharing"",""สบก!BU51"")"),0)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IFERROR(__xludf.DUMMYFUNCTION("IMPORTRANGE(""https://docs.google.com/spreadsheets/d/1XL5vhW3sbDhbH9Cz0tuDiY8C3ctxq1tqvaCgkFb8cCA/edit?usp=sharing"",""สกลนคร!I149"")"),14)</f>
        <v>14</v>
      </c>
      <c r="J229" s="267">
        <f ca="1">IFERROR(__xludf.DUMMYFUNCTION("IMPORTRANGE(""https://docs.google.com/spreadsheets/d/1XL5vhW3sbDhbH9Cz0tuDiY8C3ctxq1tqvaCgkFb8cCA/edit?usp=sharing"",""สกลนคร!J149"")"),14)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IFERROR(__xludf.DUMMYFUNCTION("IMPORTRANGE(""https://docs.google.com/spreadsheets/d/1XL5vhW3sbDhbH9Cz0tuDiY8C3ctxq1tqvaCgkFb8cCA/edit?usp=sharing"",""สกลนคร!J157"")"),0)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IFERROR(__xludf.DUMMYFUNCTION("IMPORTRANGE(""https://docs.google.com/spreadsheets/d/1XL5vhW3sbDhbH9Cz0tuDiY8C3ctxq1tqvaCgkFb8cCA/edit?usp=sharing"",""สกลนคร!I158"")"),0)</f>
        <v>0</v>
      </c>
      <c r="J238" s="267">
        <f ca="1">IFERROR(__xludf.DUMMYFUNCTION("IMPORTRANGE(""https://docs.google.com/spreadsheets/d/1XL5vhW3sbDhbH9Cz0tuDiY8C3ctxq1tqvaCgkFb8cCA/edit?usp=sharing"",""สกลนคร!J158"")"),0)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IFERROR(__xludf.DUMMYFUNCTION("IMPORTRANGE(""https://docs.google.com/spreadsheets/d/1XL5vhW3sbDhbH9Cz0tuDiY8C3ctxq1tqvaCgkFb8cCA/edit?usp=sharing"",""สกลนคร!J166"")"),0)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IFERROR(__xludf.DUMMYFUNCTION("IMPORTRANGE(""https://docs.google.com/spreadsheets/d/1XL5vhW3sbDhbH9Cz0tuDiY8C3ctxq1tqvaCgkFb8cCA/edit?usp=sharing"",""สกลนคร!I169"")"),25)</f>
        <v>25</v>
      </c>
      <c r="J249" s="316">
        <f ca="1">IFERROR(__xludf.DUMMYFUNCTION("IMPORTRANGE(""https://docs.google.com/spreadsheets/d/1XL5vhW3sbDhbH9Cz0tuDiY8C3ctxq1tqvaCgkFb8cCA/edit?usp=sharing"",""สกลนคร!J169"")"),13)</f>
        <v>13</v>
      </c>
      <c r="K249" s="317">
        <f ca="1">IF(I249&gt;0,J249*100/I249,0)</f>
        <v>52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42225</v>
      </c>
      <c r="O250" s="151">
        <f t="shared" ref="O250:O252" ca="1" si="78">IF(L250&gt;0,N250*100/L250,0)</f>
        <v>47.443820224719104</v>
      </c>
      <c r="P250" s="151">
        <f t="shared" ref="P250:P252" ca="1" si="79">IF(M250&gt;0,N250*100/M250,0)</f>
        <v>47.443820224719104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42225</v>
      </c>
      <c r="O252" s="156">
        <f t="shared" ca="1" si="78"/>
        <v>47.443820224719104</v>
      </c>
      <c r="P252" s="156">
        <f t="shared" ca="1" si="79"/>
        <v>47.443820224719104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IFERROR(__xludf.DUMMYFUNCTION("IMPORTRANGE(""https://docs.google.com/spreadsheets/d/1Yj_ptqi66GCucihVvJfMjLAmec39IyEx_6qawtMGysU/edit?usp=sharing"",""สบก!CB51"")"),89000)</f>
        <v>89000</v>
      </c>
      <c r="N254" s="627">
        <f ca="1">IFERROR(__xludf.DUMMYFUNCTION("IMPORTRANGE(""https://docs.google.com/spreadsheets/d/1Yj_ptqi66GCucihVvJfMjLAmec39IyEx_6qawtMGysU/edit?usp=sharing"",""สบก!CC51"")"),42225)</f>
        <v>42225</v>
      </c>
      <c r="O254" s="169">
        <f ca="1">IF(L254&gt;0,N254*100/L254,0)</f>
        <v>47.443820224719104</v>
      </c>
      <c r="P254" s="169">
        <f ca="1">IF(M254&gt;0,N254*100/M254,0)</f>
        <v>47.443820224719104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IFERROR(__xludf.DUMMYFUNCTION("IMPORTRANGE(""https://docs.google.com/spreadsheets/d/1Yj_ptqi66GCucihVvJfMjLAmec39IyEx_6qawtMGysU/edit?usp=sharing"",""สบก!BZ51"")"),0)</f>
        <v>0</v>
      </c>
      <c r="M258" s="625"/>
      <c r="N258" s="622">
        <f ca="1">IFERROR(__xludf.DUMMYFUNCTION("IMPORTRANGE(""https://docs.google.com/spreadsheets/d/1Yj_ptqi66GCucihVvJfMjLAmec39IyEx_6qawtMGysU/edit?usp=sharing"",""สบก!CD51"")"),0)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IFERROR(__xludf.DUMMYFUNCTION("IMPORTRANGE(""https://docs.google.com/spreadsheets/d/1XL5vhW3sbDhbH9Cz0tuDiY8C3ctxq1tqvaCgkFb8cCA/edit?usp=sharing"",""สกลนคร!J180"")"),13)</f>
        <v>13</v>
      </c>
      <c r="K265" s="163">
        <f t="shared" ca="1" si="82"/>
        <v>52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IFERROR(__xludf.DUMMYFUNCTION("IMPORTRANGE(""https://docs.google.com/spreadsheets/d/1XL5vhW3sbDhbH9Cz0tuDiY8C3ctxq1tqvaCgkFb8cCA/edit?usp=sharing"",""สกลนคร!J184"")"),0)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IFERROR(__xludf.DUMMYFUNCTION("IMPORTRANGE(""https://docs.google.com/spreadsheets/d/1XL5vhW3sbDhbH9Cz0tuDiY8C3ctxq1tqvaCgkFb8cCA/edit?usp=sharing"",""สกลนคร!I185"")"),0)</f>
        <v>0</v>
      </c>
      <c r="J270" s="316">
        <f ca="1">IFERROR(__xludf.DUMMYFUNCTION("IMPORTRANGE(""https://docs.google.com/spreadsheets/d/1XL5vhW3sbDhbH9Cz0tuDiY8C3ctxq1tqvaCgkFb8cCA/edit?usp=sharing"",""สกลนคร!J185"")"),0)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IFERROR(__xludf.DUMMYFUNCTION("IMPORTRANGE(""https://docs.google.com/spreadsheets/d/1Yj_ptqi66GCucihVvJfMjLAmec39IyEx_6qawtMGysU/edit?usp=sharing"",""สบก!CK51"")"),0)</f>
        <v>0</v>
      </c>
      <c r="N275" s="627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IFERROR(__xludf.DUMMYFUNCTION("IMPORTRANGE(""https://docs.google.com/spreadsheets/d/1Yj_ptqi66GCucihVvJfMjLAmec39IyEx_6qawtMGysU/edit?usp=sharing"",""สบก!CI51"")"),0)</f>
        <v>0</v>
      </c>
      <c r="M279" s="625"/>
      <c r="N279" s="622">
        <f ca="1">IFERROR(__xludf.DUMMYFUNCTION("IMPORTRANGE(""https://docs.google.com/spreadsheets/d/1Yj_ptqi66GCucihVvJfMjLAmec39IyEx_6qawtMGysU/edit?usp=sharing"",""สบก!CM51"")"),0)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IFERROR(__xludf.DUMMYFUNCTION("IMPORTRANGE(""https://docs.google.com/spreadsheets/d/1XL5vhW3sbDhbH9Cz0tuDiY8C3ctxq1tqvaCgkFb8cCA/edit?usp=sharing"",""สกลนคร!I199"")"),0)</f>
        <v>0</v>
      </c>
      <c r="J289" s="316">
        <f ca="1">IFERROR(__xludf.DUMMYFUNCTION("IMPORTRANGE(""https://docs.google.com/spreadsheets/d/1XL5vhW3sbDhbH9Cz0tuDiY8C3ctxq1tqvaCgkFb8cCA/edit?usp=sharing"",""สกลนคร!J199"")"),0)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IFERROR(__xludf.DUMMYFUNCTION("IMPORTRANGE(""https://docs.google.com/spreadsheets/d/1Yj_ptqi66GCucihVvJfMjLAmec39IyEx_6qawtMGysU/edit?usp=sharing"",""สบก!CT51"")"),0)</f>
        <v>0</v>
      </c>
      <c r="N294" s="627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IFERROR(__xludf.DUMMYFUNCTION("IMPORTRANGE(""https://docs.google.com/spreadsheets/d/1Yj_ptqi66GCucihVvJfMjLAmec39IyEx_6qawtMGysU/edit?usp=sharing"",""สบก!CR51"")"),0)</f>
        <v>0</v>
      </c>
      <c r="M298" s="625"/>
      <c r="N298" s="622">
        <f ca="1">IFERROR(__xludf.DUMMYFUNCTION("IMPORTRANGE(""https://docs.google.com/spreadsheets/d/1Yj_ptqi66GCucihVvJfMjLAmec39IyEx_6qawtMGysU/edit?usp=sharing"",""สบก!CV51"")"),0)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IFERROR(__xludf.DUMMYFUNCTION("IMPORTRANGE(""https://docs.google.com/spreadsheets/d/1XL5vhW3sbDhbH9Cz0tuDiY8C3ctxq1tqvaCgkFb8cCA/edit?usp=sharing"",""สกลนคร!J213"")"),0)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IFERROR(__xludf.DUMMYFUNCTION("IMPORTRANGE(""https://docs.google.com/spreadsheets/d/1XL5vhW3sbDhbH9Cz0tuDiY8C3ctxq1tqvaCgkFb8cCA/edit?usp=sharing"",""สกลนคร!I214"")"),0)</f>
        <v>0</v>
      </c>
      <c r="J309" s="333">
        <f ca="1">IFERROR(__xludf.DUMMYFUNCTION("IMPORTRANGE(""https://docs.google.com/spreadsheets/d/1XL5vhW3sbDhbH9Cz0tuDiY8C3ctxq1tqvaCgkFb8cCA/edit?usp=sharing"",""สกลนคร!J214"")"),0)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IFERROR(__xludf.DUMMYFUNCTION("IMPORTRANGE(""https://docs.google.com/spreadsheets/d/1Yj_ptqi66GCucihVvJfMjLAmec39IyEx_6qawtMGysU/edit?usp=sharing"",""สบก!DC51"")"),0)</f>
        <v>0</v>
      </c>
      <c r="N314" s="627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IFERROR(__xludf.DUMMYFUNCTION("IMPORTRANGE(""https://docs.google.com/spreadsheets/d/1Yj_ptqi66GCucihVvJfMjLAmec39IyEx_6qawtMGysU/edit?usp=sharing"",""สบก!DA51"")"),0)</f>
        <v>0</v>
      </c>
      <c r="M318" s="625"/>
      <c r="N318" s="622">
        <f ca="1">IFERROR(__xludf.DUMMYFUNCTION("IMPORTRANGE(""https://docs.google.com/spreadsheets/d/1Yj_ptqi66GCucihVvJfMjLAmec39IyEx_6qawtMGysU/edit?usp=sharing"",""สบก!DE51"")"),0)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IFERROR(__xludf.DUMMYFUNCTION("IMPORTRANGE(""https://docs.google.com/spreadsheets/d/1XL5vhW3sbDhbH9Cz0tuDiY8C3ctxq1tqvaCgkFb8cCA/edit?usp=sharing"",""สกลนคร!J226"")"),0)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IFERROR(__xludf.DUMMYFUNCTION("IMPORTRANGE(""https://docs.google.com/spreadsheets/d/1XL5vhW3sbDhbH9Cz0tuDiY8C3ctxq1tqvaCgkFb8cCA/edit?usp=sharing"",""สกลนคร!I228"")"),1360)</f>
        <v>1360</v>
      </c>
      <c r="J328" s="339">
        <f ca="1">IFERROR(__xludf.DUMMYFUNCTION("IMPORTRANGE(""https://docs.google.com/spreadsheets/d/1XL5vhW3sbDhbH9Cz0tuDiY8C3ctxq1tqvaCgkFb8cCA/edit?usp=sharing"",""สกลนคร!J228"")"),119)</f>
        <v>119</v>
      </c>
      <c r="K328" s="317">
        <f ca="1">IF(I328&gt;0,J328*100/I328,0)</f>
        <v>8.75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1490150</v>
      </c>
      <c r="M329" s="152">
        <f t="shared" ca="1" si="98"/>
        <v>1120630</v>
      </c>
      <c r="N329" s="152">
        <f t="shared" ca="1" si="98"/>
        <v>882830.17</v>
      </c>
      <c r="O329" s="151">
        <f t="shared" ref="O329:O331" ca="1" si="99">IF(L329&gt;0,N329*100/L329,0)</f>
        <v>59.24438278025702</v>
      </c>
      <c r="P329" s="151">
        <f t="shared" ref="P329:P331" ca="1" si="100">IF(M329&gt;0,N329*100/M329,0)</f>
        <v>78.77980867904661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1490150</v>
      </c>
      <c r="M331" s="157">
        <f t="shared" ca="1" si="102"/>
        <v>1120630</v>
      </c>
      <c r="N331" s="157">
        <f t="shared" ca="1" si="102"/>
        <v>882830.17</v>
      </c>
      <c r="O331" s="156">
        <f t="shared" ca="1" si="99"/>
        <v>59.24438278025702</v>
      </c>
      <c r="P331" s="156">
        <f t="shared" ca="1" si="100"/>
        <v>78.77980867904661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1490150</v>
      </c>
      <c r="M333" s="626">
        <f ca="1">IFERROR(__xludf.DUMMYFUNCTION("IMPORTRANGE(""https://docs.google.com/spreadsheets/d/1Yj_ptqi66GCucihVvJfMjLAmec39IyEx_6qawtMGysU/edit?usp=sharing"",""สบก!DL51"")"),1120630)</f>
        <v>1120630</v>
      </c>
      <c r="N333" s="627">
        <f ca="1">IFERROR(__xludf.DUMMYFUNCTION("IMPORTRANGE(""https://docs.google.com/spreadsheets/d/1Yj_ptqi66GCucihVvJfMjLAmec39IyEx_6qawtMGysU/edit?usp=sharing"",""สบก!DM51"")"),882830.17)</f>
        <v>882830.17</v>
      </c>
      <c r="O333" s="169">
        <f ca="1">IF(L333&gt;0,N333*100/L333,0)</f>
        <v>59.24438278025702</v>
      </c>
      <c r="P333" s="169">
        <f ca="1">IF(M333&gt;0,N333*100/M333,0)</f>
        <v>78.77980867904661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IFERROR(__xludf.DUMMYFUNCTION("IMPORTRANGE(""https://docs.google.com/spreadsheets/d/1Yj_ptqi66GCucihVvJfMjLAmec39IyEx_6qawtMGysU/edit?usp=sharing"",""สบก!DI51"")"),1184150)</f>
        <v>1184150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IFERROR(__xludf.DUMMYFUNCTION("IMPORTRANGE(""https://docs.google.com/spreadsheets/d/1Yj_ptqi66GCucihVvJfMjLAmec39IyEx_6qawtMGysU/edit?usp=sharing"",""สบก!DJ51"")"),0)</f>
        <v>0</v>
      </c>
      <c r="M337" s="625"/>
      <c r="N337" s="622">
        <f ca="1">IFERROR(__xludf.DUMMYFUNCTION("IMPORTRANGE(""https://docs.google.com/spreadsheets/d/1Yj_ptqi66GCucihVvJfMjLAmec39IyEx_6qawtMGysU/edit?usp=sharing"",""สบก!DN51"")"),0)</f>
        <v>0</v>
      </c>
      <c r="O337" s="625">
        <f ca="1">IF(L337&gt;0,N337*100/L337,0)</f>
        <v>0</v>
      </c>
      <c r="P337" s="625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IFERROR(__xludf.DUMMYFUNCTION("IMPORTRANGE(""https://docs.google.com/spreadsheets/d/1XL5vhW3sbDhbH9Cz0tuDiY8C3ctxq1tqvaCgkFb8cCA/edit?usp=sharing"",""สกลนคร!J234"")"),656)</f>
        <v>656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IFERROR(__xludf.DUMMYFUNCTION("IMPORTRANGE(""https://docs.google.com/spreadsheets/d/1XL5vhW3sbDhbH9Cz0tuDiY8C3ctxq1tqvaCgkFb8cCA/edit?usp=sharing"",""สกลนคร!I235"")"),8420)</f>
        <v>8420</v>
      </c>
      <c r="J340" s="188">
        <f ca="1">IFERROR(__xludf.DUMMYFUNCTION("IMPORTRANGE(""https://docs.google.com/spreadsheets/d/1XL5vhW3sbDhbH9Cz0tuDiY8C3ctxq1tqvaCgkFb8cCA/edit?usp=sharing"",""สกลนคร!J235"")"),5214.93)</f>
        <v>5214.93</v>
      </c>
      <c r="K340" s="342">
        <f t="shared" ca="1" si="103"/>
        <v>61.935035629453679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IFERROR(__xludf.DUMMYFUNCTION("IMPORTRANGE(""https://docs.google.com/spreadsheets/d/1XL5vhW3sbDhbH9Cz0tuDiY8C3ctxq1tqvaCgkFb8cCA/edit?usp=sharing"",""สกลนคร!I236"")"),1360)</f>
        <v>1360</v>
      </c>
      <c r="J341" s="188">
        <f ca="1">IFERROR(__xludf.DUMMYFUNCTION("IMPORTRANGE(""https://docs.google.com/spreadsheets/d/1XL5vhW3sbDhbH9Cz0tuDiY8C3ctxq1tqvaCgkFb8cCA/edit?usp=sharing"",""สกลนคร!J236"")"),718)</f>
        <v>718</v>
      </c>
      <c r="K341" s="342">
        <f t="shared" ca="1" si="103"/>
        <v>52.794117647058826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IFERROR(__xludf.DUMMYFUNCTION("IMPORTRANGE(""https://docs.google.com/spreadsheets/d/1XL5vhW3sbDhbH9Cz0tuDiY8C3ctxq1tqvaCgkFb8cCA/edit?usp=sharing"",""สกลนคร!J237"")"),6069.53)</f>
        <v>6069.53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IFERROR(__xludf.DUMMYFUNCTION("IMPORTRANGE(""https://docs.google.com/spreadsheets/d/1XL5vhW3sbDhbH9Cz0tuDiY8C3ctxq1tqvaCgkFb8cCA/edit?usp=sharing"",""สกลนคร!I238"")"),1360)</f>
        <v>1360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2">
        <f t="shared" ca="1" si="103"/>
        <v>7.7941176470588234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IFERROR(__xludf.DUMMYFUNCTION("IMPORTRANGE(""https://docs.google.com/spreadsheets/d/1XL5vhW3sbDhbH9Cz0tuDiY8C3ctxq1tqvaCgkFb8cCA/edit?usp=sharing"",""สกลนคร!J239"")"),825.9)</f>
        <v>825.9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IFERROR(__xludf.DUMMYFUNCTION("IMPORTRANGE(""https://docs.google.com/spreadsheets/d/1XL5vhW3sbDhbH9Cz0tuDiY8C3ctxq1tqvaCgkFb8cCA/edit?usp=sharing"",""สกลนคร!I240"")"),1360)</f>
        <v>1360</v>
      </c>
      <c r="J345" s="188">
        <f ca="1">IFERROR(__xludf.DUMMYFUNCTION("IMPORTRANGE(""https://docs.google.com/spreadsheets/d/1XL5vhW3sbDhbH9Cz0tuDiY8C3ctxq1tqvaCgkFb8cCA/edit?usp=sharing"",""สกลนคร!J240"")"),119)</f>
        <v>119</v>
      </c>
      <c r="K345" s="342">
        <f t="shared" ca="1" si="103"/>
        <v>8.75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IFERROR(__xludf.DUMMYFUNCTION("IMPORTRANGE(""https://docs.google.com/spreadsheets/d/1XL5vhW3sbDhbH9Cz0tuDiY8C3ctxq1tqvaCgkFb8cCA/edit?usp=sharing"",""สกลนคร!J241"")"),991.42)</f>
        <v>991.42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IFERROR(__xludf.DUMMYFUNCTION("IMPORTRANGE(""https://docs.google.com/spreadsheets/d/1XL5vhW3sbDhbH9Cz0tuDiY8C3ctxq1tqvaCgkFb8cCA/edit?usp=sharing"",""สกลนคร!L242"")"),2279026)</f>
        <v>2279026</v>
      </c>
      <c r="M347" s="358"/>
      <c r="N347" s="358">
        <f ca="1">IFERROR(__xludf.DUMMYFUNCTION("IMPORTRANGE(""https://docs.google.com/spreadsheets/d/1XL5vhW3sbDhbH9Cz0tuDiY8C3ctxq1tqvaCgkFb8cCA/edit?usp=sharing"",""สกลนคร!M242"")"),1100172.27)</f>
        <v>1100172.27</v>
      </c>
      <c r="O347" s="358">
        <f ca="1">+IF(L347&gt;0,N347*100/L347,0)</f>
        <v>48.273791962004822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IFERROR(__xludf.DUMMYFUNCTION("IMPORTRANGE(""https://docs.google.com/spreadsheets/d/1XL5vhW3sbDhbH9Cz0tuDiY8C3ctxq1tqvaCgkFb8cCA/edit?usp=sharing"",""สกลนคร!J244"")"),116)</f>
        <v>116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IFERROR(__xludf.DUMMYFUNCTION("IMPORTRANGE(""https://docs.google.com/spreadsheets/d/1XL5vhW3sbDhbH9Cz0tuDiY8C3ctxq1tqvaCgkFb8cCA/edit?usp=sharing"",""สกลนคร!M244"")"),255446.81)</f>
        <v>255446.81</v>
      </c>
      <c r="O349" s="373">
        <f ca="1">+IF(L349&gt;0,N349*100/L349,0)</f>
        <v>68.270254162546436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IFERROR(__xludf.DUMMYFUNCTION("IMPORTRANGE(""https://docs.google.com/spreadsheets/d/1XL5vhW3sbDhbH9Cz0tuDiY8C3ctxq1tqvaCgkFb8cCA/edit?usp=sharing"",""สกลนคร!J245"")"),61)</f>
        <v>61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IFERROR(__xludf.DUMMYFUNCTION("IMPORTRANGE(""https://docs.google.com/spreadsheets/d/1XL5vhW3sbDhbH9Cz0tuDiY8C3ctxq1tqvaCgkFb8cCA/edit?usp=sharing"",""สกลนคร!L247"")"),374170)</f>
        <v>374170</v>
      </c>
      <c r="M352" s="165"/>
      <c r="N352" s="164">
        <f ca="1">IFERROR(__xludf.DUMMYFUNCTION("IMPORTRANGE(""https://docs.google.com/spreadsheets/d/1XL5vhW3sbDhbH9Cz0tuDiY8C3ctxq1tqvaCgkFb8cCA/edit?usp=sharing"",""สกลนคร!M247"")"),255446.81)</f>
        <v>255446.81</v>
      </c>
      <c r="O352" s="165">
        <f t="shared" ca="1" si="105"/>
        <v>68.270254162546436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IFERROR(__xludf.DUMMYFUNCTION("IMPORTRANGE(""https://docs.google.com/spreadsheets/d/1XL5vhW3sbDhbH9Cz0tuDiY8C3ctxq1tqvaCgkFb8cCA/edit?usp=sharing"",""สกลนคร!L249"")"),374170)</f>
        <v>374170</v>
      </c>
      <c r="M354" s="169"/>
      <c r="N354" s="168">
        <f ca="1">IFERROR(__xludf.DUMMYFUNCTION("IMPORTRANGE(""https://docs.google.com/spreadsheets/d/1XL5vhW3sbDhbH9Cz0tuDiY8C3ctxq1tqvaCgkFb8cCA/edit?usp=sharing"",""สกลนคร!M249"")"),255446.81)</f>
        <v>255446.81</v>
      </c>
      <c r="O354" s="169">
        <f t="shared" ca="1" si="105"/>
        <v>68.270254162546436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IFERROR(__xludf.DUMMYFUNCTION("IMPORTRANGE(""https://docs.google.com/spreadsheets/d/1XL5vhW3sbDhbH9Cz0tuDiY8C3ctxq1tqvaCgkFb8cCA/edit?usp=sharing"",""สกลนคร!M251"")"),60347.26)</f>
        <v>60347.26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IFERROR(__xludf.DUMMYFUNCTION("IMPORTRANGE(""https://docs.google.com/spreadsheets/d/1XL5vhW3sbDhbH9Cz0tuDiY8C3ctxq1tqvaCgkFb8cCA/edit?usp=sharing"",""สกลนคร!M252"")"),90000)</f>
        <v>90000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IFERROR(__xludf.DUMMYFUNCTION("IMPORTRANGE(""https://docs.google.com/spreadsheets/d/1XL5vhW3sbDhbH9Cz0tuDiY8C3ctxq1tqvaCgkFb8cCA/edit?usp=sharing"",""สกลนคร!M253"")"),30759.55)</f>
        <v>30759.55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IFERROR(__xludf.DUMMYFUNCTION("IMPORTRANGE(""https://docs.google.com/spreadsheets/d/1XL5vhW3sbDhbH9Cz0tuDiY8C3ctxq1tqvaCgkFb8cCA/edit?usp=sharing"",""สกลนคร!J263"")"),61)</f>
        <v>61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IFERROR(__xludf.DUMMYFUNCTION("IMPORTRANGE(""https://docs.google.com/spreadsheets/d/1XL5vhW3sbDhbH9Cz0tuDiY8C3ctxq1tqvaCgkFb8cCA/edit?usp=sharing"",""สกลนคร!J265"")"),37)</f>
        <v>37</v>
      </c>
      <c r="K370" s="163">
        <f t="shared" ca="1" si="106"/>
        <v>60.655737704918032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IFERROR(__xludf.DUMMYFUNCTION("IMPORTRANGE(""https://docs.google.com/spreadsheets/d/1XL5vhW3sbDhbH9Cz0tuDiY8C3ctxq1tqvaCgkFb8cCA/edit?usp=sharing"",""สกลนคร!J270"")"),116)</f>
        <v>116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IFERROR(__xludf.DUMMYFUNCTION("IMPORTRANGE(""https://docs.google.com/spreadsheets/d/1XL5vhW3sbDhbH9Cz0tuDiY8C3ctxq1tqvaCgkFb8cCA/edit?usp=sharing"",""สกลนคร!J271"")"),34)</f>
        <v>34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IFERROR(__xludf.DUMMYFUNCTION("IMPORTRANGE(""https://docs.google.com/spreadsheets/d/1XL5vhW3sbDhbH9Cz0tuDiY8C3ctxq1tqvaCgkFb8cCA/edit?usp=sharing"",""สกลนคร!J272"")"),82)</f>
        <v>82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IFERROR(__xludf.DUMMYFUNCTION("IMPORTRANGE(""https://docs.google.com/spreadsheets/d/1XL5vhW3sbDhbH9Cz0tuDiY8C3ctxq1tqvaCgkFb8cCA/edit?usp=sharing"",""สกลนคร!J274"")"),0)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IFERROR(__xludf.DUMMYFUNCTION("IMPORTRANGE(""https://docs.google.com/spreadsheets/d/1XL5vhW3sbDhbH9Cz0tuDiY8C3ctxq1tqvaCgkFb8cCA/edit?usp=sharing"",""สกลนคร!M275"")"),57963)</f>
        <v>57963</v>
      </c>
      <c r="O380" s="373">
        <f ca="1">+IF(L380&gt;0,N380*100/L380,0)</f>
        <v>12.596818359629678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IFERROR(__xludf.DUMMYFUNCTION("IMPORTRANGE(""https://docs.google.com/spreadsheets/d/1XL5vhW3sbDhbH9Cz0tuDiY8C3ctxq1tqvaCgkFb8cCA/edit?usp=sharing"",""สกลนคร!M278"")"),57963)</f>
        <v>57963</v>
      </c>
      <c r="O383" s="165">
        <f t="shared" ca="1" si="109"/>
        <v>12.596818359629678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IFERROR(__xludf.DUMMYFUNCTION("IMPORTRANGE(""https://docs.google.com/spreadsheets/d/1XL5vhW3sbDhbH9Cz0tuDiY8C3ctxq1tqvaCgkFb8cCA/edit?usp=sharing"",""สกลนคร!M280"")"),57963)</f>
        <v>57963</v>
      </c>
      <c r="O385" s="169">
        <f t="shared" ca="1" si="109"/>
        <v>12.596818359629678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IFERROR(__xludf.DUMMYFUNCTION("IMPORTRANGE(""https://docs.google.com/spreadsheets/d/1XL5vhW3sbDhbH9Cz0tuDiY8C3ctxq1tqvaCgkFb8cCA/edit?usp=sharing"",""สกลนคร!M281"")"),57963)</f>
        <v>57963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IFERROR(__xludf.DUMMYFUNCTION("IMPORTRANGE(""https://docs.google.com/spreadsheets/d/1XL5vhW3sbDhbH9Cz0tuDiY8C3ctxq1tqvaCgkFb8cCA/edit?usp=sharing"",""สกลนคร!J295"")"),0)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IFERROR(__xludf.DUMMYFUNCTION("IMPORTRANGE(""https://docs.google.com/spreadsheets/d/1XL5vhW3sbDhbH9Cz0tuDiY8C3ctxq1tqvaCgkFb8cCA/edit?usp=sharing"",""สกลนคร!M296"")"),156333.2)</f>
        <v>156333.20000000001</v>
      </c>
      <c r="O401" s="373">
        <f ca="1">+IF(L401&gt;0,N401*100/L401,0)</f>
        <v>74.908097747963595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IFERROR(__xludf.DUMMYFUNCTION("IMPORTRANGE(""https://docs.google.com/spreadsheets/d/1XL5vhW3sbDhbH9Cz0tuDiY8C3ctxq1tqvaCgkFb8cCA/edit?usp=sharing"",""สกลนคร!M299"")"),156333.2)</f>
        <v>156333.20000000001</v>
      </c>
      <c r="O404" s="169">
        <f t="shared" ca="1" si="112"/>
        <v>74.908097747963595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IFERROR(__xludf.DUMMYFUNCTION("IMPORTRANGE(""https://docs.google.com/spreadsheets/d/1XL5vhW3sbDhbH9Cz0tuDiY8C3ctxq1tqvaCgkFb8cCA/edit?usp=sharing"",""สกลนคร!M301"")"),156333.2)</f>
        <v>156333.20000000001</v>
      </c>
      <c r="O406" s="169">
        <f t="shared" ca="1" si="112"/>
        <v>74.908097747963595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IFERROR(__xludf.DUMMYFUNCTION("IMPORTRANGE(""https://docs.google.com/spreadsheets/d/1XL5vhW3sbDhbH9Cz0tuDiY8C3ctxq1tqvaCgkFb8cCA/edit?usp=sharing"",""สกลนคร!M305"")"),31673.2)</f>
        <v>31673.200000000001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IFERROR(__xludf.DUMMYFUNCTION("IMPORTRANGE(""https://docs.google.com/spreadsheets/d/1XL5vhW3sbDhbH9Cz0tuDiY8C3ctxq1tqvaCgkFb8cCA/edit?usp=sharing"",""สกลนคร!J329"")"),0)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IFERROR(__xludf.DUMMYFUNCTION("IMPORTRANGE(""https://docs.google.com/spreadsheets/d/1XL5vhW3sbDhbH9Cz0tuDiY8C3ctxq1tqvaCgkFb8cCA/edit?usp=sharing"",""สกลนคร!M330"")"),109760.44)</f>
        <v>109760.44</v>
      </c>
      <c r="O435" s="412">
        <f t="shared" ref="O435:O439" ca="1" si="114">+IF(L435&gt;0,N435*100/L435,0)</f>
        <v>90.711107438016526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IFERROR(__xludf.DUMMYFUNCTION("IMPORTRANGE(""https://docs.google.com/spreadsheets/d/1XL5vhW3sbDhbH9Cz0tuDiY8C3ctxq1tqvaCgkFb8cCA/edit?usp=sharing"",""สกลนคร!M332"")"),109760.44)</f>
        <v>109760.44</v>
      </c>
      <c r="O437" s="169">
        <f t="shared" ca="1" si="114"/>
        <v>90.711107438016526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IFERROR(__xludf.DUMMYFUNCTION("IMPORTRANGE(""https://docs.google.com/spreadsheets/d/1XL5vhW3sbDhbH9Cz0tuDiY8C3ctxq1tqvaCgkFb8cCA/edit?usp=sharing"",""สกลนคร!M334"")"),109760.44)</f>
        <v>109760.44</v>
      </c>
      <c r="O439" s="169">
        <f t="shared" ca="1" si="114"/>
        <v>90.711107438016526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IFERROR(__xludf.DUMMYFUNCTION("IMPORTRANGE(""https://docs.google.com/spreadsheets/d/1XL5vhW3sbDhbH9Cz0tuDiY8C3ctxq1tqvaCgkFb8cCA/edit?usp=sharing"",""สกลนคร!M338"")"),39560.44)</f>
        <v>39560.44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IFERROR(__xludf.DUMMYFUNCTION("IMPORTRANGE(""https://docs.google.com/spreadsheets/d/1XL5vhW3sbDhbH9Cz0tuDiY8C3ctxq1tqvaCgkFb8cCA/edit?usp=sharing"",""สกลนคร!J349"")"),0)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IFERROR(__xludf.DUMMYFUNCTION("IMPORTRANGE(""https://docs.google.com/spreadsheets/d/1XL5vhW3sbDhbH9Cz0tuDiY8C3ctxq1tqvaCgkFb8cCA/edit?usp=sharing"",""สกลนคร!L350"")"),558768)</f>
        <v>558768</v>
      </c>
      <c r="M455" s="373"/>
      <c r="N455" s="373">
        <f ca="1">IFERROR(__xludf.DUMMYFUNCTION("IMPORTRANGE(""https://docs.google.com/spreadsheets/d/1XL5vhW3sbDhbH9Cz0tuDiY8C3ctxq1tqvaCgkFb8cCA/edit?usp=sharing"",""สกลนคร!M350"")"),200533.13)</f>
        <v>200533.13</v>
      </c>
      <c r="O455" s="373">
        <f t="shared" ref="O455:O459" ca="1" si="116">+IF(L455&gt;0,N455*100/L455,0)</f>
        <v>35.888442072559634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IFERROR(__xludf.DUMMYFUNCTION("IMPORTRANGE(""https://docs.google.com/spreadsheets/d/1XL5vhW3sbDhbH9Cz0tuDiY8C3ctxq1tqvaCgkFb8cCA/edit?usp=sharing"",""สกลนคร!L352"")"),558768)</f>
        <v>558768</v>
      </c>
      <c r="M457" s="165"/>
      <c r="N457" s="169">
        <f ca="1">IFERROR(__xludf.DUMMYFUNCTION("IMPORTRANGE(""https://docs.google.com/spreadsheets/d/1XL5vhW3sbDhbH9Cz0tuDiY8C3ctxq1tqvaCgkFb8cCA/edit?usp=sharing"",""สกลนคร!M352"")"),200533.13)</f>
        <v>200533.13</v>
      </c>
      <c r="O457" s="169">
        <f t="shared" ca="1" si="116"/>
        <v>35.888442072559634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IFERROR(__xludf.DUMMYFUNCTION("IMPORTRANGE(""https://docs.google.com/spreadsheets/d/1XL5vhW3sbDhbH9Cz0tuDiY8C3ctxq1tqvaCgkFb8cCA/edit?usp=sharing"",""สกลนคร!L354"")"),558768)</f>
        <v>558768</v>
      </c>
      <c r="M459" s="169"/>
      <c r="N459" s="169">
        <f ca="1">IFERROR(__xludf.DUMMYFUNCTION("IMPORTRANGE(""https://docs.google.com/spreadsheets/d/1XL5vhW3sbDhbH9Cz0tuDiY8C3ctxq1tqvaCgkFb8cCA/edit?usp=sharing"",""สกลนคร!M354"")"),200533.13)</f>
        <v>200533.13</v>
      </c>
      <c r="O459" s="169">
        <f t="shared" ca="1" si="116"/>
        <v>35.888442072559634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IFERROR(__xludf.DUMMYFUNCTION("IMPORTRANGE(""https://docs.google.com/spreadsheets/d/1XL5vhW3sbDhbH9Cz0tuDiY8C3ctxq1tqvaCgkFb8cCA/edit?usp=sharing"",""สกลนคร!M357"")"),65609.83)</f>
        <v>65609.83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IFERROR(__xludf.DUMMYFUNCTION("IMPORTRANGE(""https://docs.google.com/spreadsheets/d/1XL5vhW3sbDhbH9Cz0tuDiY8C3ctxq1tqvaCgkFb8cCA/edit?usp=sharing"",""สกลนคร!M358"")"),134923.3)</f>
        <v>134923.29999999999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IFERROR(__xludf.DUMMYFUNCTION("IMPORTRANGE(""https://docs.google.com/spreadsheets/d/1XL5vhW3sbDhbH9Cz0tuDiY8C3ctxq1tqvaCgkFb8cCA/edit?usp=sharing"",""สกลนคร!I359"")"),45964)</f>
        <v>45964</v>
      </c>
      <c r="J464" s="267">
        <f ca="1">IFERROR(__xludf.DUMMYFUNCTION("IMPORTRANGE(""https://docs.google.com/spreadsheets/d/1XL5vhW3sbDhbH9Cz0tuDiY8C3ctxq1tqvaCgkFb8cCA/edit?usp=sharing"",""สกลนคร!J359"")"),0)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IFERROR(__xludf.DUMMYFUNCTION("IMPORTRANGE(""https://docs.google.com/spreadsheets/d/1XL5vhW3sbDhbH9Cz0tuDiY8C3ctxq1tqvaCgkFb8cCA/edit?usp=sharing"",""สกลนคร!J392"")"),2196)</f>
        <v>2196</v>
      </c>
      <c r="K497" s="444">
        <f t="shared" ca="1" si="117"/>
        <v>65.552238805970148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IFERROR(__xludf.DUMMYFUNCTION("IMPORTRANGE(""https://docs.google.com/spreadsheets/d/1XL5vhW3sbDhbH9Cz0tuDiY8C3ctxq1tqvaCgkFb8cCA/edit?usp=sharing"",""สกลนคร!J393"")"),2196)</f>
        <v>2196</v>
      </c>
      <c r="K498" s="202">
        <f t="shared" ca="1" si="117"/>
        <v>65.552238805970148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IFERROR(__xludf.DUMMYFUNCTION("IMPORTRANGE(""https://docs.google.com/spreadsheets/d/1XL5vhW3sbDhbH9Cz0tuDiY8C3ctxq1tqvaCgkFb8cCA/edit?usp=sharing"",""สกลนคร!J394"")"),230)</f>
        <v>230</v>
      </c>
      <c r="K499" s="202">
        <f t="shared" ca="1" si="117"/>
        <v>62.841530054644807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IFERROR(__xludf.DUMMYFUNCTION("IMPORTRANGE(""https://docs.google.com/spreadsheets/d/1XL5vhW3sbDhbH9Cz0tuDiY8C3ctxq1tqvaCgkFb8cCA/edit?usp=sharing"",""สกลนคร!J395"")"),2196)</f>
        <v>2196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IFERROR(__xludf.DUMMYFUNCTION("IMPORTRANGE(""https://docs.google.com/spreadsheets/d/1XL5vhW3sbDhbH9Cz0tuDiY8C3ctxq1tqvaCgkFb8cCA/edit?usp=sharing"",""สกลนคร!J396"")"),230)</f>
        <v>230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IFERROR(__xludf.DUMMYFUNCTION("IMPORTRANGE(""https://docs.google.com/spreadsheets/d/1XL5vhW3sbDhbH9Cz0tuDiY8C3ctxq1tqvaCgkFb8cCA/edit?usp=sharing"",""สกลนคร!J397"")"),2124)</f>
        <v>2124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IFERROR(__xludf.DUMMYFUNCTION("IMPORTRANGE(""https://docs.google.com/spreadsheets/d/1XL5vhW3sbDhbH9Cz0tuDiY8C3ctxq1tqvaCgkFb8cCA/edit?usp=sharing"",""สกลนคร!J398"")"),215)</f>
        <v>215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IFERROR(__xludf.DUMMYFUNCTION("IMPORTRANGE(""https://docs.google.com/spreadsheets/d/1XL5vhW3sbDhbH9Cz0tuDiY8C3ctxq1tqvaCgkFb8cCA/edit?usp=sharing"",""สกลนคร!J399"")"),72)</f>
        <v>72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IFERROR(__xludf.DUMMYFUNCTION("IMPORTRANGE(""https://docs.google.com/spreadsheets/d/1XL5vhW3sbDhbH9Cz0tuDiY8C3ctxq1tqvaCgkFb8cCA/edit?usp=sharing"",""สกลนคร!I411"")"),0)</f>
        <v>0</v>
      </c>
      <c r="J516" s="267">
        <f ca="1">IFERROR(__xludf.DUMMYFUNCTION("IMPORTRANGE(""https://docs.google.com/spreadsheets/d/1XL5vhW3sbDhbH9Cz0tuDiY8C3ctxq1tqvaCgkFb8cCA/edit?usp=sharing"",""สกลนคร!J411"")"),0)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IFERROR(__xludf.DUMMYFUNCTION("IMPORTRANGE(""https://docs.google.com/spreadsheets/d/1XL5vhW3sbDhbH9Cz0tuDiY8C3ctxq1tqvaCgkFb8cCA/edit?usp=sharing"",""สกลนคร!I412"")"),0)</f>
        <v>0</v>
      </c>
      <c r="J517" s="284">
        <f ca="1">IFERROR(__xludf.DUMMYFUNCTION("IMPORTRANGE(""https://docs.google.com/spreadsheets/d/1XL5vhW3sbDhbH9Cz0tuDiY8C3ctxq1tqvaCgkFb8cCA/edit?usp=sharing"",""สกลนคร!J412"")"),0)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IFERROR(__xludf.DUMMYFUNCTION("IMPORTRANGE(""https://docs.google.com/spreadsheets/d/1XL5vhW3sbDhbH9Cz0tuDiY8C3ctxq1tqvaCgkFb8cCA/edit?usp=sharing"",""สกลนคร!I413"")"),0)</f>
        <v>0</v>
      </c>
      <c r="J518" s="284">
        <f ca="1">IFERROR(__xludf.DUMMYFUNCTION("IMPORTRANGE(""https://docs.google.com/spreadsheets/d/1XL5vhW3sbDhbH9Cz0tuDiY8C3ctxq1tqvaCgkFb8cCA/edit?usp=sharing"",""สกลนคร!J413"")"),0)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IFERROR(__xludf.DUMMYFUNCTION("IMPORTRANGE(""https://docs.google.com/spreadsheets/d/1XL5vhW3sbDhbH9Cz0tuDiY8C3ctxq1tqvaCgkFb8cCA/edit?usp=sharing"",""สกลนคร!I420"")"),0)</f>
        <v>0</v>
      </c>
      <c r="J525" s="284">
        <f ca="1">IFERROR(__xludf.DUMMYFUNCTION("IMPORTRANGE(""https://docs.google.com/spreadsheets/d/1XL5vhW3sbDhbH9Cz0tuDiY8C3ctxq1tqvaCgkFb8cCA/edit?usp=sharing"",""สกลนคร!J420"")"),0)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IFERROR(__xludf.DUMMYFUNCTION("IMPORTRANGE(""https://docs.google.com/spreadsheets/d/1XL5vhW3sbDhbH9Cz0tuDiY8C3ctxq1tqvaCgkFb8cCA/edit?usp=sharing"",""สกลนคร!I421"")"),0)</f>
        <v>0</v>
      </c>
      <c r="J526" s="284">
        <f ca="1">IFERROR(__xludf.DUMMYFUNCTION("IMPORTRANGE(""https://docs.google.com/spreadsheets/d/1XL5vhW3sbDhbH9Cz0tuDiY8C3ctxq1tqvaCgkFb8cCA/edit?usp=sharing"",""สกลนคร!J421"")"),0)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IFERROR(__xludf.DUMMYFUNCTION("IMPORTRANGE(""https://docs.google.com/spreadsheets/d/1XL5vhW3sbDhbH9Cz0tuDiY8C3ctxq1tqvaCgkFb8cCA/edit?usp=sharing"",""สกลนคร!L430"")"),37740)</f>
        <v>37740</v>
      </c>
      <c r="M535" s="165"/>
      <c r="N535" s="169">
        <f ca="1">IFERROR(__xludf.DUMMYFUNCTION("IMPORTRANGE(""https://docs.google.com/spreadsheets/d/1XL5vhW3sbDhbH9Cz0tuDiY8C3ctxq1tqvaCgkFb8cCA/edit?usp=sharing"",""สกลนคร!M430"")"),33995)</f>
        <v>33995</v>
      </c>
      <c r="O535" s="169">
        <f t="shared" ca="1" si="118"/>
        <v>90.07684154742978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IFERROR(__xludf.DUMMYFUNCTION("IMPORTRANGE(""https://docs.google.com/spreadsheets/d/1XL5vhW3sbDhbH9Cz0tuDiY8C3ctxq1tqvaCgkFb8cCA/edit?usp=sharing"",""สกลนคร!L432"")"),37740)</f>
        <v>37740</v>
      </c>
      <c r="M537" s="169"/>
      <c r="N537" s="169">
        <f ca="1">IFERROR(__xludf.DUMMYFUNCTION("IMPORTRANGE(""https://docs.google.com/spreadsheets/d/1XL5vhW3sbDhbH9Cz0tuDiY8C3ctxq1tqvaCgkFb8cCA/edit?usp=sharing"",""สกลนคร!M432"")"),33995)</f>
        <v>33995</v>
      </c>
      <c r="O537" s="169">
        <f t="shared" ca="1" si="118"/>
        <v>90.07684154742978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IFERROR(__xludf.DUMMYFUNCTION("IMPORTRANGE(""https://docs.google.com/spreadsheets/d/1XL5vhW3sbDhbH9Cz0tuDiY8C3ctxq1tqvaCgkFb8cCA/edit?usp=sharing"",""สกลนคร!J459"")"),5180)</f>
        <v>5180</v>
      </c>
      <c r="K564" s="372">
        <f ca="1">IF(I564&gt;0,J564*100/I564,0)</f>
        <v>123.33333333333333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IFERROR(__xludf.DUMMYFUNCTION("IMPORTRANGE(""https://docs.google.com/spreadsheets/d/1XL5vhW3sbDhbH9Cz0tuDiY8C3ctxq1tqvaCgkFb8cCA/edit?usp=sharing"",""สกลนคร!M459"")"),124023.43)</f>
        <v>124023.43</v>
      </c>
      <c r="O564" s="373">
        <f t="shared" ref="O564:O568" ca="1" si="122">+IF(L564&gt;0,N564*100/L564,0)</f>
        <v>74.176692583732063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IFERROR(__xludf.DUMMYFUNCTION("IMPORTRANGE(""https://docs.google.com/spreadsheets/d/1XL5vhW3sbDhbH9Cz0tuDiY8C3ctxq1tqvaCgkFb8cCA/edit?usp=sharing"",""สกลนคร!M461"")"),124023.43)</f>
        <v>124023.43</v>
      </c>
      <c r="O566" s="169">
        <f t="shared" ca="1" si="122"/>
        <v>74.176692583732063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IFERROR(__xludf.DUMMYFUNCTION("IMPORTRANGE(""https://docs.google.com/spreadsheets/d/1XL5vhW3sbDhbH9Cz0tuDiY8C3ctxq1tqvaCgkFb8cCA/edit?usp=sharing"",""สกลนคร!M463"")"),124023.43)</f>
        <v>124023.43</v>
      </c>
      <c r="O568" s="169">
        <f t="shared" ca="1" si="122"/>
        <v>74.176692583732063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IFERROR(__xludf.DUMMYFUNCTION("IMPORTRANGE(""https://docs.google.com/spreadsheets/d/1XL5vhW3sbDhbH9Cz0tuDiY8C3ctxq1tqvaCgkFb8cCA/edit?usp=sharing"",""สกลนคร!M466"")"),65257.26)</f>
        <v>65257.26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IFERROR(__xludf.DUMMYFUNCTION("IMPORTRANGE(""https://docs.google.com/spreadsheets/d/1XL5vhW3sbDhbH9Cz0tuDiY8C3ctxq1tqvaCgkFb8cCA/edit?usp=sharing"",""สกลนคร!M467"")"),58766.17)</f>
        <v>58766.17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IFERROR(__xludf.DUMMYFUNCTION("IMPORTRANGE(""https://docs.google.com/spreadsheets/d/1XL5vhW3sbDhbH9Cz0tuDiY8C3ctxq1tqvaCgkFb8cCA/edit?usp=sharing"",""สกลนคร!J468"")"),5180)</f>
        <v>5180</v>
      </c>
      <c r="K573" s="202">
        <f ca="1">IF(I573&gt;0,J573*100/I573,0)</f>
        <v>123.33333333333333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IFERROR(__xludf.DUMMYFUNCTION("IMPORTRANGE(""https://docs.google.com/spreadsheets/d/1XL5vhW3sbDhbH9Cz0tuDiY8C3ctxq1tqvaCgkFb8cCA/edit?usp=sharing"",""สกลนคร!J471"")"),1345)</f>
        <v>1345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IFERROR(__xludf.DUMMYFUNCTION("IMPORTRANGE(""https://docs.google.com/spreadsheets/d/1XL5vhW3sbDhbH9Cz0tuDiY8C3ctxq1tqvaCgkFb8cCA/edit?usp=sharing"",""สกลนคร!J472"")"),3835)</f>
        <v>3835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IFERROR(__xludf.DUMMYFUNCTION("IMPORTRANGE(""https://docs.google.com/spreadsheets/d/1XL5vhW3sbDhbH9Cz0tuDiY8C3ctxq1tqvaCgkFb8cCA/edit?usp=sharing"",""สกลนคร!I475"")"),216)</f>
        <v>216</v>
      </c>
      <c r="J580" s="371">
        <f ca="1">IFERROR(__xludf.DUMMYFUNCTION("IMPORTRANGE(""https://docs.google.com/spreadsheets/d/1XL5vhW3sbDhbH9Cz0tuDiY8C3ctxq1tqvaCgkFb8cCA/edit?usp=sharing"",""สกลนคร!J475"")"),22)</f>
        <v>22</v>
      </c>
      <c r="K580" s="372">
        <f ca="1">IF(I580&gt;0,J580*100/I580,0)</f>
        <v>10.185185185185185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IFERROR(__xludf.DUMMYFUNCTION("IMPORTRANGE(""https://docs.google.com/spreadsheets/d/1XL5vhW3sbDhbH9Cz0tuDiY8C3ctxq1tqvaCgkFb8cCA/edit?usp=sharing"",""สกลนคร!M475"")"),162117.26)</f>
        <v>162117.26</v>
      </c>
      <c r="O580" s="373">
        <f t="shared" ref="O580:O584" ca="1" si="124">+IF(L580&gt;0,N580*100/L580,0)</f>
        <v>49.065779278952085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IFERROR(__xludf.DUMMYFUNCTION("IMPORTRANGE(""https://docs.google.com/spreadsheets/d/1XL5vhW3sbDhbH9Cz0tuDiY8C3ctxq1tqvaCgkFb8cCA/edit?usp=sharing"",""สกลนคร!M477"")"),162117.26)</f>
        <v>162117.26</v>
      </c>
      <c r="O582" s="169">
        <f t="shared" ca="1" si="124"/>
        <v>49.065779278952085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IFERROR(__xludf.DUMMYFUNCTION("IMPORTRANGE(""https://docs.google.com/spreadsheets/d/1XL5vhW3sbDhbH9Cz0tuDiY8C3ctxq1tqvaCgkFb8cCA/edit?usp=sharing"",""สกลนคร!M479"")"),162117.26)</f>
        <v>162117.26</v>
      </c>
      <c r="O584" s="169">
        <f t="shared" ca="1" si="124"/>
        <v>49.065779278952085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IFERROR(__xludf.DUMMYFUNCTION("IMPORTRANGE(""https://docs.google.com/spreadsheets/d/1XL5vhW3sbDhbH9Cz0tuDiY8C3ctxq1tqvaCgkFb8cCA/edit?usp=sharing"",""สกลนคร!M482"")"),66000)</f>
        <v>66000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IFERROR(__xludf.DUMMYFUNCTION("IMPORTRANGE(""https://docs.google.com/spreadsheets/d/1XL5vhW3sbDhbH9Cz0tuDiY8C3ctxq1tqvaCgkFb8cCA/edit?usp=sharing"",""สกลนคร!M483"")"),96117.26)</f>
        <v>96117.26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IFERROR(__xludf.DUMMYFUNCTION("IMPORTRANGE(""https://docs.google.com/spreadsheets/d/1XL5vhW3sbDhbH9Cz0tuDiY8C3ctxq1tqvaCgkFb8cCA/edit?usp=sharing"",""สกลนคร!I484"")"),216)</f>
        <v>216</v>
      </c>
      <c r="J589" s="188">
        <f ca="1">IFERROR(__xludf.DUMMYFUNCTION("IMPORTRANGE(""https://docs.google.com/spreadsheets/d/1XL5vhW3sbDhbH9Cz0tuDiY8C3ctxq1tqvaCgkFb8cCA/edit?usp=sharing"",""สกลนคร!J484"")"),107)</f>
        <v>107</v>
      </c>
      <c r="K589" s="163">
        <f t="shared" ref="K589:K596" ca="1" si="125">IF(I589&gt;0,J589*100/I589,0)</f>
        <v>49.537037037037038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IFERROR(__xludf.DUMMYFUNCTION("IMPORTRANGE(""https://docs.google.com/spreadsheets/d/1XL5vhW3sbDhbH9Cz0tuDiY8C3ctxq1tqvaCgkFb8cCA/edit?usp=sharing"",""สกลนคร!J485"")"),49.42)</f>
        <v>49.42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IFERROR(__xludf.DUMMYFUNCTION("IMPORTRANGE(""https://docs.google.com/spreadsheets/d/1XL5vhW3sbDhbH9Cz0tuDiY8C3ctxq1tqvaCgkFb8cCA/edit?usp=sharing"",""สกลนคร!I486"")"),216)</f>
        <v>216</v>
      </c>
      <c r="J591" s="188">
        <f ca="1">IFERROR(__xludf.DUMMYFUNCTION("IMPORTRANGE(""https://docs.google.com/spreadsheets/d/1XL5vhW3sbDhbH9Cz0tuDiY8C3ctxq1tqvaCgkFb8cCA/edit?usp=sharing"",""สกลนคร!J486"")"),83)</f>
        <v>83</v>
      </c>
      <c r="K591" s="163">
        <f t="shared" ca="1" si="125"/>
        <v>38.425925925925924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IFERROR(__xludf.DUMMYFUNCTION("IMPORTRANGE(""https://docs.google.com/spreadsheets/d/1XL5vhW3sbDhbH9Cz0tuDiY8C3ctxq1tqvaCgkFb8cCA/edit?usp=sharing"",""สกลนคร!J487"")"),34.18)</f>
        <v>34.18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IFERROR(__xludf.DUMMYFUNCTION("IMPORTRANGE(""https://docs.google.com/spreadsheets/d/1XL5vhW3sbDhbH9Cz0tuDiY8C3ctxq1tqvaCgkFb8cCA/edit?usp=sharing"",""สกลนคร!I488"")"),216)</f>
        <v>216</v>
      </c>
      <c r="J593" s="188">
        <f ca="1">IFERROR(__xludf.DUMMYFUNCTION("IMPORTRANGE(""https://docs.google.com/spreadsheets/d/1XL5vhW3sbDhbH9Cz0tuDiY8C3ctxq1tqvaCgkFb8cCA/edit?usp=sharing"",""สกลนคร!J488"")"),19)</f>
        <v>19</v>
      </c>
      <c r="K593" s="163">
        <f t="shared" ca="1" si="125"/>
        <v>8.7962962962962958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IFERROR(__xludf.DUMMYFUNCTION("IMPORTRANGE(""https://docs.google.com/spreadsheets/d/1XL5vhW3sbDhbH9Cz0tuDiY8C3ctxq1tqvaCgkFb8cCA/edit?usp=sharing"",""สกลนคร!J489"")"),8.02)</f>
        <v>8.02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IFERROR(__xludf.DUMMYFUNCTION("IMPORTRANGE(""https://docs.google.com/spreadsheets/d/1XL5vhW3sbDhbH9Cz0tuDiY8C3ctxq1tqvaCgkFb8cCA/edit?usp=sharing"",""สกลนคร!I490"")"),216)</f>
        <v>216</v>
      </c>
      <c r="J595" s="188">
        <f ca="1">IFERROR(__xludf.DUMMYFUNCTION("IMPORTRANGE(""https://docs.google.com/spreadsheets/d/1XL5vhW3sbDhbH9Cz0tuDiY8C3ctxq1tqvaCgkFb8cCA/edit?usp=sharing"",""สกลนคร!J490"")"),22)</f>
        <v>22</v>
      </c>
      <c r="K595" s="163">
        <f t="shared" ca="1" si="125"/>
        <v>10.185185185185185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IFERROR(__xludf.DUMMYFUNCTION("IMPORTRANGE(""https://docs.google.com/spreadsheets/d/1XL5vhW3sbDhbH9Cz0tuDiY8C3ctxq1tqvaCgkFb8cCA/edit?usp=sharing"",""สกลนคร!I491"")"),0)</f>
        <v>0</v>
      </c>
      <c r="J596" s="241">
        <f ca="1">IFERROR(__xludf.DUMMYFUNCTION("IMPORTRANGE(""https://docs.google.com/spreadsheets/d/1XL5vhW3sbDhbH9Cz0tuDiY8C3ctxq1tqvaCgkFb8cCA/edit?usp=sharing"",""สกลนคร!J491"")"),11.78)</f>
        <v>11.78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7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IFERROR(__xludf.DUMMYFUNCTION("IMPORTRANGE(""https://docs.google.com/spreadsheets/d/1XL5vhW3sbDhbH9Cz0tuDiY8C3ctxq1tqvaCgkFb8cCA/edit?usp=sharing"",""สกลนคร!L492"")"),20900)</f>
        <v>20900</v>
      </c>
      <c r="M597" s="412"/>
      <c r="N597" s="412">
        <f ca="1">IFERROR(__xludf.DUMMYFUNCTION("IMPORTRANGE(""https://docs.google.com/spreadsheets/d/1XL5vhW3sbDhbH9Cz0tuDiY8C3ctxq1tqvaCgkFb8cCA/edit?usp=sharing"",""สกลนคร!M492"")"),0)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IFERROR(__xludf.DUMMYFUNCTION("IMPORTRANGE(""https://docs.google.com/spreadsheets/d/1XL5vhW3sbDhbH9Cz0tuDiY8C3ctxq1tqvaCgkFb8cCA/edit?usp=sharing"",""สกลนคร!L494"")"),20900)</f>
        <v>20900</v>
      </c>
      <c r="M599" s="165"/>
      <c r="N599" s="169">
        <f ca="1">IFERROR(__xludf.DUMMYFUNCTION("IMPORTRANGE(""https://docs.google.com/spreadsheets/d/1XL5vhW3sbDhbH9Cz0tuDiY8C3ctxq1tqvaCgkFb8cCA/edit?usp=sharing"",""สกลนคร!M494"")"),0)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IFERROR(__xludf.DUMMYFUNCTION("IMPORTRANGE(""https://docs.google.com/spreadsheets/d/1XL5vhW3sbDhbH9Cz0tuDiY8C3ctxq1tqvaCgkFb8cCA/edit?usp=sharing"",""สกลนคร!L496"")"),20900)</f>
        <v>20900</v>
      </c>
      <c r="M601" s="169"/>
      <c r="N601" s="169">
        <f ca="1">IFERROR(__xludf.DUMMYFUNCTION("IMPORTRANGE(""https://docs.google.com/spreadsheets/d/1XL5vhW3sbDhbH9Cz0tuDiY8C3ctxq1tqvaCgkFb8cCA/edit?usp=sharing"",""สกลนคร!M496"")"),0)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IFERROR(__xludf.DUMMYFUNCTION("IMPORTRANGE(""https://docs.google.com/spreadsheets/d/1XL5vhW3sbDhbH9Cz0tuDiY8C3ctxq1tqvaCgkFb8cCA/edit?usp=sharing"",""สกลนคร!J166"")"),0)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IFERROR(__xludf.DUMMYFUNCTION("IMPORTRANGE(""https://docs.google.com/spreadsheets/d/1XL5vhW3sbDhbH9Cz0tuDiY8C3ctxq1tqvaCgkFb8cCA/edit?usp=sharing"",""สกลนคร!J166"")"),0)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1">
        <f ca="1">IFERROR(__xludf.DUMMYFUNCTION("IMPORTRANGE(""https://docs.google.com/spreadsheets/d/1XL5vhW3sbDhbH9Cz0tuDiY8C3ctxq1tqvaCgkFb8cCA/edit?usp=sharing"",""สกลนคร!J523"")"),3792565.03)</f>
        <v>3792565.03</v>
      </c>
      <c r="K628" s="342">
        <f t="shared" ref="K628:K635" ca="1" si="129">IF(I628&gt;0,J628*100/I628,0)</f>
        <v>42.059643584296431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IFERROR(__xludf.DUMMYFUNCTION("IMPORTRANGE(""https://docs.google.com/spreadsheets/d/1XL5vhW3sbDhbH9Cz0tuDiY8C3ctxq1tqvaCgkFb8cCA/edit?usp=sharing"",""สกลนคร!I524"")"),757)</f>
        <v>757</v>
      </c>
      <c r="J629" s="341">
        <f ca="1">IFERROR(__xludf.DUMMYFUNCTION("IMPORTRANGE(""https://docs.google.com/spreadsheets/d/1XL5vhW3sbDhbH9Cz0tuDiY8C3ctxq1tqvaCgkFb8cCA/edit?usp=sharing"",""สกลนคร!J524"")"),296)</f>
        <v>296</v>
      </c>
      <c r="K629" s="342">
        <f t="shared" ca="1" si="129"/>
        <v>39.101717305151915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IFERROR(__xludf.DUMMYFUNCTION("IMPORTRANGE(""https://docs.google.com/spreadsheets/d/1XL5vhW3sbDhbH9Cz0tuDiY8C3ctxq1tqvaCgkFb8cCA/edit?usp=sharing"",""สกลนคร!I525"")"),3296006.08)</f>
        <v>3296006.08</v>
      </c>
      <c r="J630" s="341">
        <f ca="1">IFERROR(__xludf.DUMMYFUNCTION("IMPORTRANGE(""https://docs.google.com/spreadsheets/d/1XL5vhW3sbDhbH9Cz0tuDiY8C3ctxq1tqvaCgkFb8cCA/edit?usp=sharing"",""สกลนคร!J525"")"),916026.35)</f>
        <v>916026.35</v>
      </c>
      <c r="K630" s="342">
        <f t="shared" ca="1" si="129"/>
        <v>27.792010322990667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IFERROR(__xludf.DUMMYFUNCTION("IMPORTRANGE(""https://docs.google.com/spreadsheets/d/1XL5vhW3sbDhbH9Cz0tuDiY8C3ctxq1tqvaCgkFb8cCA/edit?usp=sharing"",""สกลนคร!I526"")"),160)</f>
        <v>160</v>
      </c>
      <c r="J631" s="341">
        <f ca="1">IFERROR(__xludf.DUMMYFUNCTION("IMPORTRANGE(""https://docs.google.com/spreadsheets/d/1XL5vhW3sbDhbH9Cz0tuDiY8C3ctxq1tqvaCgkFb8cCA/edit?usp=sharing"",""สกลนคร!J526"")"),105)</f>
        <v>105</v>
      </c>
      <c r="K631" s="342">
        <f t="shared" ca="1" si="129"/>
        <v>65.625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IFERROR(__xludf.DUMMYFUNCTION("IMPORTRANGE(""https://docs.google.com/spreadsheets/d/1XL5vhW3sbDhbH9Cz0tuDiY8C3ctxq1tqvaCgkFb8cCA/edit?usp=sharing"",""สกลนคร!I527"")"),0)</f>
        <v>0</v>
      </c>
      <c r="J632" s="341">
        <f ca="1">IFERROR(__xludf.DUMMYFUNCTION("IMPORTRANGE(""https://docs.google.com/spreadsheets/d/1XL5vhW3sbDhbH9Cz0tuDiY8C3ctxq1tqvaCgkFb8cCA/edit?usp=sharing"",""สกลนคร!J527"")"),0)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IFERROR(__xludf.DUMMYFUNCTION("IMPORTRANGE(""https://docs.google.com/spreadsheets/d/1XL5vhW3sbDhbH9Cz0tuDiY8C3ctxq1tqvaCgkFb8cCA/edit?usp=sharing"",""สกลนคร!I528"")"),0)</f>
        <v>0</v>
      </c>
      <c r="J633" s="341">
        <f ca="1">IFERROR(__xludf.DUMMYFUNCTION("IMPORTRANGE(""https://docs.google.com/spreadsheets/d/1XL5vhW3sbDhbH9Cz0tuDiY8C3ctxq1tqvaCgkFb8cCA/edit?usp=sharing"",""สกลนคร!J528"")"),0)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IFERROR(__xludf.DUMMYFUNCTION("IMPORTRANGE(""https://docs.google.com/spreadsheets/d/1XL5vhW3sbDhbH9Cz0tuDiY8C3ctxq1tqvaCgkFb8cCA/edit?usp=sharing"",""สกลนคร!I529"")"),10000000)</f>
        <v>10000000</v>
      </c>
      <c r="J634" s="341">
        <f ca="1">IFERROR(__xludf.DUMMYFUNCTION("IMPORTRANGE(""https://docs.google.com/spreadsheets/d/1XL5vhW3sbDhbH9Cz0tuDiY8C3ctxq1tqvaCgkFb8cCA/edit?usp=sharing"",""สกลนคร!J529"")"),2580000)</f>
        <v>2580000</v>
      </c>
      <c r="K634" s="342">
        <f t="shared" ca="1" si="129"/>
        <v>25.8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IFERROR(__xludf.DUMMYFUNCTION("IMPORTRANGE(""https://docs.google.com/spreadsheets/d/1XL5vhW3sbDhbH9Cz0tuDiY8C3ctxq1tqvaCgkFb8cCA/edit?usp=sharing"",""สกลนคร!I530"")"),200)</f>
        <v>200</v>
      </c>
      <c r="J635" s="504">
        <f ca="1">IFERROR(__xludf.DUMMYFUNCTION("IMPORTRANGE(""https://docs.google.com/spreadsheets/d/1XL5vhW3sbDhbH9Cz0tuDiY8C3ctxq1tqvaCgkFb8cCA/edit?usp=sharing"",""สกลนคร!J530"")"),58)</f>
        <v>58</v>
      </c>
      <c r="K635" s="486">
        <f t="shared" ca="1" si="129"/>
        <v>29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IFERROR(__xludf.DUMMYFUNCTION("IMPORTRANGE(""https://docs.google.com/spreadsheets/d/1XL5vhW3sbDhbH9Cz0tuDiY8C3ctxq1tqvaCgkFb8cCA/edit#gid=346597447"",""สกลนคร!J541"")"),0)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IFERROR(__xludf.DUMMYFUNCTION("IMPORTRANGE(""https://docs.google.com/spreadsheets/d/1XL5vhW3sbDhbH9Cz0tuDiY8C3ctxq1tqvaCgkFb8cCA/edit#gid=346597447"",""สกลนคร!J542"")"),0)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IFERROR(__xludf.DUMMYFUNCTION("IMPORTRANGE(""https://docs.google.com/spreadsheets/d/1XL5vhW3sbDhbH9Cz0tuDiY8C3ctxq1tqvaCgkFb8cCA/edit#gid=346597447"",""สกลนคร!I543"")"),0)</f>
        <v>0</v>
      </c>
      <c r="J648" s="585">
        <f ca="1">IFERROR(__xludf.DUMMYFUNCTION("IMPORTRANGE(""https://docs.google.com/spreadsheets/d/1XL5vhW3sbDhbH9Cz0tuDiY8C3ctxq1tqvaCgkFb8cCA/edit#gid=346597447"",""สกลนคร!J543"")"),0)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IFERROR(__xludf.DUMMYFUNCTION("IMPORTRANGE(""https://docs.google.com/spreadsheets/d/1XL5vhW3sbDhbH9Cz0tuDiY8C3ctxq1tqvaCgkFb8cCA/edit#gid=346597447"",""สกลนคร!L543"")"),0)</f>
        <v>0</v>
      </c>
      <c r="M648" s="570"/>
      <c r="N648" s="587">
        <f ca="1">IFERROR(__xludf.DUMMYFUNCTION("IMPORTRANGE(""https://docs.google.com/spreadsheets/d/1XL5vhW3sbDhbH9Cz0tuDiY8C3ctxq1tqvaCgkFb8cCA/edit#gid=346597447"",""สกลนคร!M543"")"),0)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IFERROR(__xludf.DUMMYFUNCTION("IMPORTRANGE(""https://docs.google.com/spreadsheets/d/1XL5vhW3sbDhbH9Cz0tuDiY8C3ctxq1tqvaCgkFb8cCA/edit#gid=346597447"",""สกลนคร!I544"")"),0)</f>
        <v>0</v>
      </c>
      <c r="J649" s="585">
        <f ca="1">IFERROR(__xludf.DUMMYFUNCTION("IMPORTRANGE(""https://docs.google.com/spreadsheets/d/1XL5vhW3sbDhbH9Cz0tuDiY8C3ctxq1tqvaCgkFb8cCA/edit#gid=346597447"",""สกลนคร!J544"")"),0)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IFERROR(__xludf.DUMMYFUNCTION("IMPORTRANGE(""https://docs.google.com/spreadsheets/d/1XL5vhW3sbDhbH9Cz0tuDiY8C3ctxq1tqvaCgkFb8cCA/edit#gid=346597447"",""สกลนคร!L544"")"),0)</f>
        <v>0</v>
      </c>
      <c r="M649" s="570"/>
      <c r="N649" s="587">
        <f ca="1">IFERROR(__xludf.DUMMYFUNCTION("IMPORTRANGE(""https://docs.google.com/spreadsheets/d/1XL5vhW3sbDhbH9Cz0tuDiY8C3ctxq1tqvaCgkFb8cCA/edit#gid=346597447"",""สกลนคร!M544"")"),0)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IFERROR(__xludf.DUMMYFUNCTION("IMPORTRANGE(""https://docs.google.com/spreadsheets/d/1XL5vhW3sbDhbH9Cz0tuDiY8C3ctxq1tqvaCgkFb8cCA/edit#gid=346597447"",""สกลนคร!I545"")"),0)</f>
        <v>0</v>
      </c>
      <c r="J650" s="585">
        <f ca="1">IFERROR(__xludf.DUMMYFUNCTION("IMPORTRANGE(""https://docs.google.com/spreadsheets/d/1XL5vhW3sbDhbH9Cz0tuDiY8C3ctxq1tqvaCgkFb8cCA/edit#gid=346597447"",""สกลนคร!J545"")"),0)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IFERROR(__xludf.DUMMYFUNCTION("IMPORTRANGE(""https://docs.google.com/spreadsheets/d/1XL5vhW3sbDhbH9Cz0tuDiY8C3ctxq1tqvaCgkFb8cCA/edit#gid=346597447"",""สกลนคร!L545"")"),0)</f>
        <v>0</v>
      </c>
      <c r="M650" s="570"/>
      <c r="N650" s="587">
        <f ca="1">IFERROR(__xludf.DUMMYFUNCTION("IMPORTRANGE(""https://docs.google.com/spreadsheets/d/1XL5vhW3sbDhbH9Cz0tuDiY8C3ctxq1tqvaCgkFb8cCA/edit#gid=346597447"",""สกลนคร!M545"")"),0)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IFERROR(__xludf.DUMMYFUNCTION("IMPORTRANGE(""https://docs.google.com/spreadsheets/d/1XL5vhW3sbDhbH9Cz0tuDiY8C3ctxq1tqvaCgkFb8cCA/edit#gid=346597447"",""สกลนคร!I546"")"),0)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IFERROR(__xludf.DUMMYFUNCTION("IMPORTRANGE(""https://docs.google.com/spreadsheets/d/1XL5vhW3sbDhbH9Cz0tuDiY8C3ctxq1tqvaCgkFb8cCA/edit#gid=346597447"",""สกลนคร!L546"")"),0)</f>
        <v>0</v>
      </c>
      <c r="M651" s="570"/>
      <c r="N651" s="587">
        <f ca="1">IFERROR(__xludf.DUMMYFUNCTION("IMPORTRANGE(""https://docs.google.com/spreadsheets/d/1XL5vhW3sbDhbH9Cz0tuDiY8C3ctxq1tqvaCgkFb8cCA/edit#gid=346597447"",""สกลนคร!M546"")"),0)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IFERROR(__xludf.DUMMYFUNCTION("IMPORTRANGE(""https://docs.google.com/spreadsheets/d/1XL5vhW3sbDhbH9Cz0tuDiY8C3ctxq1tqvaCgkFb8cCA/edit#gid=346597447"",""สกลนคร!J547"")"),0)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IFERROR(__xludf.DUMMYFUNCTION("IMPORTRANGE(""https://docs.google.com/spreadsheets/d/1XL5vhW3sbDhbH9Cz0tuDiY8C3ctxq1tqvaCgkFb8cCA/edit#gid=346597447"",""สกลนคร!J548"")"),0)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IFERROR(__xludf.DUMMYFUNCTION("IMPORTRANGE(""https://docs.google.com/spreadsheets/d/1XL5vhW3sbDhbH9Cz0tuDiY8C3ctxq1tqvaCgkFb8cCA/edit#gid=346597447"",""สกลนคร!J550"")"),0)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IFERROR(__xludf.DUMMYFUNCTION("IMPORTRANGE(""https://docs.google.com/spreadsheets/d/1XL5vhW3sbDhbH9Cz0tuDiY8C3ctxq1tqvaCgkFb8cCA/edit#gid=346597447"",""สกลนคร!J551"")"),0)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IFERROR(__xludf.DUMMYFUNCTION("IMPORTRANGE(""https://docs.google.com/spreadsheets/d/1XL5vhW3sbDhbH9Cz0tuDiY8C3ctxq1tqvaCgkFb8cCA/edit#gid=346597447"",""สกลนคร!J552"")"),0)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IFERROR(__xludf.DUMMYFUNCTION("IMPORTRANGE(""https://docs.google.com/spreadsheets/d/1XL5vhW3sbDhbH9Cz0tuDiY8C3ctxq1tqvaCgkFb8cCA/edit#gid=346597447"",""สกลนคร!J553"")"),0)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IFERROR(__xludf.DUMMYFUNCTION("IMPORTRANGE(""https://docs.google.com/spreadsheets/d/1XL5vhW3sbDhbH9Cz0tuDiY8C3ctxq1tqvaCgkFb8cCA/edit#gid=346597447"",""สกลนคร!J554"")"),0)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IFERROR(__xludf.DUMMYFUNCTION("IMPORTRANGE(""https://docs.google.com/spreadsheets/d/1XL5vhW3sbDhbH9Cz0tuDiY8C3ctxq1tqvaCgkFb8cCA/edit#gid=346597447"",""สกลนคร!J555"")"),0)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IFERROR(__xludf.DUMMYFUNCTION("IMPORTRANGE(""https://docs.google.com/spreadsheets/d/1XL5vhW3sbDhbH9Cz0tuDiY8C3ctxq1tqvaCgkFb8cCA/edit#gid=346597447"",""สกลนคร!J556"")"),0)</f>
        <v>0</v>
      </c>
      <c r="K661" s="586"/>
      <c r="L661" s="571">
        <f ca="1">IFERROR(__xludf.DUMMYFUNCTION("IMPORTRANGE(""https://docs.google.com/spreadsheets/d/1XL5vhW3sbDhbH9Cz0tuDiY8C3ctxq1tqvaCgkFb8cCA/edit#gid=346597447"",""สกลนคร!L556"")"),0)</f>
        <v>0</v>
      </c>
      <c r="M661" s="570"/>
      <c r="N661" s="587">
        <f ca="1">IFERROR(__xludf.DUMMYFUNCTION("IMPORTRANGE(""https://docs.google.com/spreadsheets/d/1XL5vhW3sbDhbH9Cz0tuDiY8C3ctxq1tqvaCgkFb8cCA/edit#gid=346597447"",""สกลนคร!M556"")"),0)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IFERROR(__xludf.DUMMYFUNCTION("IMPORTRANGE(""https://docs.google.com/spreadsheets/d/1XL5vhW3sbDhbH9Cz0tuDiY8C3ctxq1tqvaCgkFb8cCA/edit#gid=346597447"",""สกลนคร!J557"")"),0)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IFERROR(__xludf.DUMMYFUNCTION("IMPORTRANGE(""https://docs.google.com/spreadsheets/d/1XL5vhW3sbDhbH9Cz0tuDiY8C3ctxq1tqvaCgkFb8cCA/edit#gid=346597447"",""สกลนคร!I558"")"),0)</f>
        <v>0</v>
      </c>
      <c r="J663" s="585">
        <f ca="1">IFERROR(__xludf.DUMMYFUNCTION("IMPORTRANGE(""https://docs.google.com/spreadsheets/d/1XL5vhW3sbDhbH9Cz0tuDiY8C3ctxq1tqvaCgkFb8cCA/edit#gid=346597447"",""สกลนคร!J558"")"),0)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IFERROR(__xludf.DUMMYFUNCTION("IMPORTRANGE(""https://docs.google.com/spreadsheets/d/1XL5vhW3sbDhbH9Cz0tuDiY8C3ctxq1tqvaCgkFb8cCA/edit#gid=346597447"",""สกลนคร!I560"")"),0)</f>
        <v>0</v>
      </c>
      <c r="J665" s="585">
        <f ca="1">IFERROR(__xludf.DUMMYFUNCTION("IMPORTRANGE(""https://docs.google.com/spreadsheets/d/1XL5vhW3sbDhbH9Cz0tuDiY8C3ctxq1tqvaCgkFb8cCA/edit#gid=346597447"",""สกลนคร!J560"")"),0)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IFERROR(__xludf.DUMMYFUNCTION("IMPORTRANGE(""https://docs.google.com/spreadsheets/d/1XL5vhW3sbDhbH9Cz0tuDiY8C3ctxq1tqvaCgkFb8cCA/edit#gid=346597447"",""สกลนคร!L560"")"),0)</f>
        <v>0</v>
      </c>
      <c r="M665" s="570"/>
      <c r="N665" s="587">
        <f ca="1">IFERROR(__xludf.DUMMYFUNCTION("IMPORTRANGE(""https://docs.google.com/spreadsheets/d/1XL5vhW3sbDhbH9Cz0tuDiY8C3ctxq1tqvaCgkFb8cCA/edit#gid=346597447"",""สกลนคร!M560"")"),0)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IFERROR(__xludf.DUMMYFUNCTION("IMPORTRANGE(""https://docs.google.com/spreadsheets/d/1XL5vhW3sbDhbH9Cz0tuDiY8C3ctxq1tqvaCgkFb8cCA/edit#gid=346597447"",""สกลนคร!J561"")"),0)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IFERROR(__xludf.DUMMYFUNCTION("IMPORTRANGE(""https://docs.google.com/spreadsheets/d/1XL5vhW3sbDhbH9Cz0tuDiY8C3ctxq1tqvaCgkFb8cCA/edit#gid=346597447"",""สกลนคร!J562"")"),0)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IFERROR(__xludf.DUMMYFUNCTION("IMPORTRANGE(""https://docs.google.com/spreadsheets/d/1XL5vhW3sbDhbH9Cz0tuDiY8C3ctxq1tqvaCgkFb8cCA/edit#gid=346597447"",""สกลนคร!I563"")"),0)</f>
        <v>0</v>
      </c>
      <c r="J668" s="585">
        <f ca="1">IFERROR(__xludf.DUMMYFUNCTION("IMPORTRANGE(""https://docs.google.com/spreadsheets/d/1XL5vhW3sbDhbH9Cz0tuDiY8C3ctxq1tqvaCgkFb8cCA/edit#gid=346597447"",""สกลนคร!J563"")"),0)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IFERROR(__xludf.DUMMYFUNCTION("IMPORTRANGE(""https://docs.google.com/spreadsheets/d/1XL5vhW3sbDhbH9Cz0tuDiY8C3ctxq1tqvaCgkFb8cCA/edit#gid=346597447"",""สกลนคร!L563"")"),0)</f>
        <v>0</v>
      </c>
      <c r="M668" s="570"/>
      <c r="N668" s="587">
        <f ca="1">IFERROR(__xludf.DUMMYFUNCTION("IMPORTRANGE(""https://docs.google.com/spreadsheets/d/1XL5vhW3sbDhbH9Cz0tuDiY8C3ctxq1tqvaCgkFb8cCA/edit#gid=346597447"",""สกลนคร!M563"")"),0)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IFERROR(__xludf.DUMMYFUNCTION("IMPORTRANGE(""https://docs.google.com/spreadsheets/d/1XL5vhW3sbDhbH9Cz0tuDiY8C3ctxq1tqvaCgkFb8cCA/edit#gid=346597447"",""สกลนคร!J564"")"),0)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IFERROR(__xludf.DUMMYFUNCTION("IMPORTRANGE(""https://docs.google.com/spreadsheets/d/1XL5vhW3sbDhbH9Cz0tuDiY8C3ctxq1tqvaCgkFb8cCA/edit#gid=346597447"",""สกลนคร!J565"")"),0)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IFERROR(__xludf.DUMMYFUNCTION("IMPORTRANGE(""https://docs.google.com/spreadsheets/d/1XL5vhW3sbDhbH9Cz0tuDiY8C3ctxq1tqvaCgkFb8cCA/edit#gid=346597447"",""สกลนคร!I566"")"),0)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IFERROR(__xludf.DUMMYFUNCTION("IMPORTRANGE(""https://docs.google.com/spreadsheets/d/1XL5vhW3sbDhbH9Cz0tuDiY8C3ctxq1tqvaCgkFb8cCA/edit#gid=346597447"",""สกลนคร!L566"")"),0)</f>
        <v>0</v>
      </c>
      <c r="M671" s="570"/>
      <c r="N671" s="587">
        <f ca="1">IFERROR(__xludf.DUMMYFUNCTION("IMPORTRANGE(""https://docs.google.com/spreadsheets/d/1XL5vhW3sbDhbH9Cz0tuDiY8C3ctxq1tqvaCgkFb8cCA/edit#gid=346597447"",""สกลนคร!M566"")"),0)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IFERROR(__xludf.DUMMYFUNCTION("IMPORTRANGE(""https://docs.google.com/spreadsheets/d/1XL5vhW3sbDhbH9Cz0tuDiY8C3ctxq1tqvaCgkFb8cCA/edit#gid=346597447"",""สกลนคร!J567"")"),0)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IFERROR(__xludf.DUMMYFUNCTION("IMPORTRANGE(""https://docs.google.com/spreadsheets/d/1XL5vhW3sbDhbH9Cz0tuDiY8C3ctxq1tqvaCgkFb8cCA/edit#gid=346597447"",""สกลนคร!J568"")"),0)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IFERROR(__xludf.DUMMYFUNCTION("IMPORTRANGE(""https://docs.google.com/spreadsheets/d/1XL5vhW3sbDhbH9Cz0tuDiY8C3ctxq1tqvaCgkFb8cCA/edit#gid=346597447"",""สกลนคร!J569"")"),0)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IFERROR(__xludf.DUMMYFUNCTION("IMPORTRANGE(""https://docs.google.com/spreadsheets/d/1XL5vhW3sbDhbH9Cz0tuDiY8C3ctxq1tqvaCgkFb8cCA/edit#gid=346597447"",""สกลนคร!J570"")"),0)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IFERROR(__xludf.DUMMYFUNCTION("IMPORTRANGE(""https://docs.google.com/spreadsheets/d/1XL5vhW3sbDhbH9Cz0tuDiY8C3ctxq1tqvaCgkFb8cCA/edit#gid=346597447"",""สกลนคร!J571"")"),0)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IFERROR(__xludf.DUMMYFUNCTION("IMPORTRANGE(""https://docs.google.com/spreadsheets/d/1XL5vhW3sbDhbH9Cz0tuDiY8C3ctxq1tqvaCgkFb8cCA/edit#gid=346597447"",""สกลนคร!J572"")"),0)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3" sqref="G1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5703125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288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7377057</v>
      </c>
      <c r="M8" s="23">
        <f t="shared" ca="1" si="0"/>
        <v>3864921</v>
      </c>
      <c r="N8" s="23">
        <f t="shared" ca="1" si="0"/>
        <v>4120671.8</v>
      </c>
      <c r="O8" s="22">
        <f t="shared" ref="O8:O16" ca="1" si="1">IF(L8&gt;0,N8*100/L8,0)</f>
        <v>55.857936301698629</v>
      </c>
      <c r="P8" s="22">
        <f t="shared" ref="P8:P16" ca="1" si="2">IF(M8&gt;0,N8*100/M8,0)</f>
        <v>106.6172322797801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7377057</v>
      </c>
      <c r="M10" s="30">
        <f t="shared" ca="1" si="4"/>
        <v>3864921</v>
      </c>
      <c r="N10" s="30">
        <f t="shared" ca="1" si="4"/>
        <v>4120671.8</v>
      </c>
      <c r="O10" s="29">
        <f t="shared" ca="1" si="1"/>
        <v>55.857936301698629</v>
      </c>
      <c r="P10" s="29">
        <f t="shared" ca="1" si="2"/>
        <v>106.6172322797801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6344111</v>
      </c>
      <c r="M12" s="38">
        <f t="shared" ca="1" si="6"/>
        <v>2831975</v>
      </c>
      <c r="N12" s="38">
        <f t="shared" ca="1" si="6"/>
        <v>3087725.8</v>
      </c>
      <c r="O12" s="38">
        <f t="shared" ca="1" si="1"/>
        <v>48.67074047096591</v>
      </c>
      <c r="P12" s="38">
        <f t="shared" ca="1" si="2"/>
        <v>109.03082830886572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1962000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4382111</v>
      </c>
      <c r="M14" s="38">
        <f t="shared" si="8"/>
        <v>0</v>
      </c>
      <c r="N14" s="38">
        <f t="shared" ca="1" si="8"/>
        <v>1040736.0700000001</v>
      </c>
      <c r="O14" s="38">
        <f t="shared" ca="1" si="1"/>
        <v>23.749651024357895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1032946</v>
      </c>
      <c r="M16" s="38">
        <f t="shared" ca="1" si="10"/>
        <v>1032946</v>
      </c>
      <c r="N16" s="38">
        <f t="shared" ca="1" si="10"/>
        <v>1032946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4453966</v>
      </c>
      <c r="M18" s="23">
        <f t="shared" ca="1" si="11"/>
        <v>3864921</v>
      </c>
      <c r="N18" s="23">
        <f t="shared" ca="1" si="11"/>
        <v>3079935.73</v>
      </c>
      <c r="O18" s="22">
        <f t="shared" ref="O18:O20" ca="1" si="12">IF(L18&gt;0,N18*100/L18,0)</f>
        <v>69.150409545111032</v>
      </c>
      <c r="P18" s="22">
        <f t="shared" ref="P18:P26" ca="1" si="13">IF(M18&gt;0,N18*100/M18,0)</f>
        <v>79.689487314229709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4453966</v>
      </c>
      <c r="M20" s="30">
        <f t="shared" ca="1" si="15"/>
        <v>3864921</v>
      </c>
      <c r="N20" s="30">
        <f t="shared" ca="1" si="15"/>
        <v>3079935.73</v>
      </c>
      <c r="O20" s="29">
        <f t="shared" ca="1" si="12"/>
        <v>69.150409545111032</v>
      </c>
      <c r="P20" s="29">
        <f t="shared" ca="1" si="13"/>
        <v>79.689487314229709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3421020</v>
      </c>
      <c r="M22" s="41">
        <f t="shared" ca="1" si="18"/>
        <v>2831975</v>
      </c>
      <c r="N22" s="38">
        <f t="shared" ca="1" si="18"/>
        <v>2046989.73</v>
      </c>
      <c r="O22" s="38">
        <f t="shared" ca="1" si="17"/>
        <v>59.835655155479948</v>
      </c>
      <c r="P22" s="38">
        <f t="shared" ca="1" si="13"/>
        <v>72.281348881964007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1962000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1459020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1032946</v>
      </c>
      <c r="M26" s="49">
        <f t="shared" ca="1" si="22"/>
        <v>1032946</v>
      </c>
      <c r="N26" s="49">
        <f t="shared" ca="1" si="22"/>
        <v>1032946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2923091</v>
      </c>
      <c r="M28" s="23">
        <f t="shared" si="23"/>
        <v>0</v>
      </c>
      <c r="N28" s="23">
        <f t="shared" ca="1" si="23"/>
        <v>1040736.0700000001</v>
      </c>
      <c r="O28" s="22">
        <f t="shared" ref="O28:O30" ca="1" si="24">IF(L28&gt;0,N28*100/L28,0)</f>
        <v>35.603957249363773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2923091</v>
      </c>
      <c r="M30" s="30">
        <f t="shared" si="27"/>
        <v>0</v>
      </c>
      <c r="N30" s="30">
        <f t="shared" ca="1" si="27"/>
        <v>1040736.0700000001</v>
      </c>
      <c r="O30" s="29">
        <f t="shared" ca="1" si="24"/>
        <v>35.603957249363773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2923091</v>
      </c>
      <c r="M32" s="38">
        <f t="shared" si="30"/>
        <v>0</v>
      </c>
      <c r="N32" s="38">
        <f t="shared" ca="1" si="30"/>
        <v>1040736.0700000001</v>
      </c>
      <c r="O32" s="38">
        <f t="shared" ca="1" si="29"/>
        <v>35.603957249363773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2923091</v>
      </c>
      <c r="M34" s="38">
        <f t="shared" si="32"/>
        <v>0</v>
      </c>
      <c r="N34" s="38">
        <f t="shared" ca="1" si="32"/>
        <v>1040736.0700000001</v>
      </c>
      <c r="O34" s="38">
        <f t="shared" ca="1" si="29"/>
        <v>35.603957249363773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4453966</v>
      </c>
      <c r="M37" s="54">
        <f t="shared" ca="1" si="33"/>
        <v>3864921</v>
      </c>
      <c r="N37" s="54">
        <f t="shared" ca="1" si="33"/>
        <v>3079935.73</v>
      </c>
      <c r="O37" s="55">
        <f t="shared" ca="1" si="29"/>
        <v>69.150409545111032</v>
      </c>
      <c r="P37" s="55">
        <f t="shared" ca="1" si="25"/>
        <v>79.689487314229709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1769756</v>
      </c>
      <c r="M41" s="78">
        <f t="shared" ca="1" si="34"/>
        <v>1576256</v>
      </c>
      <c r="N41" s="78">
        <f t="shared" ca="1" si="34"/>
        <v>1477331.08</v>
      </c>
      <c r="O41" s="77">
        <f t="shared" ref="O41:O43" ca="1" si="35">IF(L41&gt;0,N41*100/L41,0)</f>
        <v>83.476540268828018</v>
      </c>
      <c r="P41" s="77">
        <f t="shared" ref="P41:P43" ca="1" si="36">IF(M41&gt;0,N41*100/M41,0)</f>
        <v>93.724057513500341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1769756</v>
      </c>
      <c r="M43" s="78">
        <f t="shared" ca="1" si="38"/>
        <v>1576256</v>
      </c>
      <c r="N43" s="78">
        <f t="shared" ca="1" si="38"/>
        <v>1477331.08</v>
      </c>
      <c r="O43" s="77">
        <f t="shared" ca="1" si="35"/>
        <v>83.476540268828018</v>
      </c>
      <c r="P43" s="77">
        <f t="shared" ca="1" si="36"/>
        <v>93.724057513500341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622">
        <f ca="1">IFERROR(__xludf.DUMMYFUNCTION("IMPORTRANGE(""https://docs.google.com/spreadsheets/d/1Yj_ptqi66GCucihVvJfMjLAmec39IyEx_6qawtMGysU/edit?usp=sharing"",""สบก!Q52"")"),580600)</f>
        <v>580600</v>
      </c>
      <c r="N45" s="622">
        <f ca="1">IFERROR(__xludf.DUMMYFUNCTION("IMPORTRANGE(""https://docs.google.com/spreadsheets/d/1Yj_ptqi66GCucihVvJfMjLAmec39IyEx_6qawtMGysU/edit?usp=sharing"",""สบก!R52"")"),481675.08)</f>
        <v>481675.08</v>
      </c>
      <c r="O45" s="623">
        <f ca="1">IF(L45&gt;0,N45*100/L45,0)</f>
        <v>62.223883219222323</v>
      </c>
      <c r="P45" s="623">
        <f ca="1">IF(M45&gt;0,N45*100/M45,0)</f>
        <v>82.961605235962793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IFERROR(__xludf.DUMMYFUNCTION("IMPORTRANGE(""https://docs.google.com/spreadsheets/d/1Yj_ptqi66GCucihVvJfMjLAmec39IyEx_6qawtMGysU/edit?usp=sharing"",""สบก!M52"")"),774100)</f>
        <v>774100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IFERROR(__xludf.DUMMYFUNCTION("IMPORTRANGE(""https://docs.google.com/spreadsheets/d/1Yj_ptqi66GCucihVvJfMjLAmec39IyEx_6qawtMGysU/edit?usp=sharing"",""สบก!N52"")"),0)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IFERROR(__xludf.DUMMYFUNCTION("IMPORTRANGE(""https://docs.google.com/spreadsheets/d/1Yj_ptqi66GCucihVvJfMjLAmec39IyEx_6qawtMGysU/edit?usp=sharing"",""สบก!O52"")"),995656)</f>
        <v>995656</v>
      </c>
      <c r="M49" s="625">
        <f ca="1">L49</f>
        <v>995656</v>
      </c>
      <c r="N49" s="622">
        <f ca="1">IFERROR(__xludf.DUMMYFUNCTION("IMPORTRANGE(""https://docs.google.com/spreadsheets/d/1Yj_ptqi66GCucihVvJfMjLAmec39IyEx_6qawtMGysU/edit?usp=sharing"",""สบก!S52"")"),995656)</f>
        <v>995656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428400</v>
      </c>
      <c r="M53" s="121">
        <f t="shared" ca="1" si="39"/>
        <v>341010</v>
      </c>
      <c r="N53" s="121">
        <f t="shared" ca="1" si="39"/>
        <v>261220</v>
      </c>
      <c r="O53" s="120">
        <f t="shared" ref="O53:O55" ca="1" si="40">IF(L53&gt;0,N53*100/L53,0)</f>
        <v>60.975723622782446</v>
      </c>
      <c r="P53" s="120">
        <f t="shared" ref="P53:P55" ca="1" si="41">IF(M53&gt;0,N53*100/M53,0)</f>
        <v>76.601859183015165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428400</v>
      </c>
      <c r="M55" s="121">
        <f t="shared" ca="1" si="43"/>
        <v>341010</v>
      </c>
      <c r="N55" s="121">
        <f t="shared" ca="1" si="43"/>
        <v>261220</v>
      </c>
      <c r="O55" s="120">
        <f t="shared" ca="1" si="40"/>
        <v>60.975723622782446</v>
      </c>
      <c r="P55" s="120">
        <f t="shared" ca="1" si="41"/>
        <v>76.601859183015165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428400</v>
      </c>
      <c r="M57" s="622">
        <f ca="1">IFERROR(__xludf.DUMMYFUNCTION("IMPORTRANGE(""https://docs.google.com/spreadsheets/d/1Yj_ptqi66GCucihVvJfMjLAmec39IyEx_6qawtMGysU/edit?usp=sharing"",""สบก!Z52"")"),341010)</f>
        <v>341010</v>
      </c>
      <c r="N57" s="622">
        <f ca="1">IFERROR(__xludf.DUMMYFUNCTION("IMPORTRANGE(""https://docs.google.com/spreadsheets/d/1Yj_ptqi66GCucihVvJfMjLAmec39IyEx_6qawtMGysU/edit?usp=sharing"",""สบก!AA52"")"),261220)</f>
        <v>261220</v>
      </c>
      <c r="O57" s="623">
        <f ca="1">IF(L57&gt;0,N57*100/L57,0)</f>
        <v>60.975723622782446</v>
      </c>
      <c r="P57" s="623">
        <f ca="1">IF(M57&gt;0,N57*100/M57,0)</f>
        <v>76.601859183015165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IFERROR(__xludf.DUMMYFUNCTION("IMPORTRANGE(""https://docs.google.com/spreadsheets/d/1Yj_ptqi66GCucihVvJfMjLAmec39IyEx_6qawtMGysU/edit?usp=sharing"",""สบก!V52"")"),428400)</f>
        <v>428400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IFERROR(__xludf.DUMMYFUNCTION("IMPORTRANGE(""https://docs.google.com/spreadsheets/d/1Yj_ptqi66GCucihVvJfMjLAmec39IyEx_6qawtMGysU/edit?usp=sharing"",""สบก!W52"")"),0)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IFERROR(__xludf.DUMMYFUNCTION("IMPORTRANGE(""https://docs.google.com/spreadsheets/d/1Yj_ptqi66GCucihVvJfMjLAmec39IyEx_6qawtMGysU/edit?usp=sharing"",""สบก!X52"")"),0)</f>
        <v>0</v>
      </c>
      <c r="M61" s="625"/>
      <c r="N61" s="622">
        <f ca="1">IFERROR(__xludf.DUMMYFUNCTION("IMPORTRANGE(""https://docs.google.com/spreadsheets/d/1Yj_ptqi66GCucihVvJfMjLAmec39IyEx_6qawtMGysU/edit?usp=sharing"",""สบก!AB52"")"),0)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278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6">
        <f ca="1">IFERROR(__xludf.DUMMYFUNCTION("IMPORTRANGE(""https://docs.google.com/spreadsheets/d/1Yj_ptqi66GCucihVvJfMjLAmec39IyEx_6qawtMGysU/edit?usp=sharing"",""สบก!AI52"")"),0)</f>
        <v>0</v>
      </c>
      <c r="N70" s="627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IFERROR(__xludf.DUMMYFUNCTION("IMPORTRANGE(""https://docs.google.com/spreadsheets/d/1Yj_ptqi66GCucihVvJfMjLAmec39IyEx_6qawtMGysU/edit?usp=sharing"",""สบก!AG52"")"),0)</f>
        <v>0</v>
      </c>
      <c r="M74" s="625"/>
      <c r="N74" s="622">
        <f ca="1">IFERROR(__xludf.DUMMYFUNCTION("IMPORTRANGE(""https://docs.google.com/spreadsheets/d/1Yj_ptqi66GCucihVvJfMjLAmec39IyEx_6qawtMGysU/edit?usp=sharing"",""สบก!AK52"")"),0)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IFERROR(__xludf.DUMMYFUNCTION("IMPORTRANGE(""https://docs.google.com/spreadsheets/d/1Yj_ptqi66GCucihVvJfMjLAmec39IyEx_6qawtMGysU/edit?usp=sharing"",""สบก!AR52"")"),0)</f>
        <v>0</v>
      </c>
      <c r="N98" s="627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IFERROR(__xludf.DUMMYFUNCTION("IMPORTRANGE(""https://docs.google.com/spreadsheets/d/1Yj_ptqi66GCucihVvJfMjLAmec39IyEx_6qawtMGysU/edit?usp=sharing"",""สบก!AP52"")"),0)</f>
        <v>0</v>
      </c>
      <c r="M102" s="625"/>
      <c r="N102" s="622">
        <f ca="1">IFERROR(__xludf.DUMMYFUNCTION("IMPORTRANGE(""https://docs.google.com/spreadsheets/d/1Yj_ptqi66GCucihVvJfMjLAmec39IyEx_6qawtMGysU/edit?usp=sharing"",""สบก!AT52"")"),0)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IFERROR(__xludf.DUMMYFUNCTION("IMPORTRANGE(""https://docs.google.com/spreadsheets/d/1XL5vhW3sbDhbH9Cz0tuDiY8C3ctxq1tqvaCgkFb8cCA/edit?usp=sharing"",""สุรินทร์!J50"")"),0)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IFERROR(__xludf.DUMMYFUNCTION("IMPORTRANGE(""https://docs.google.com/spreadsheets/d/1Yj_ptqi66GCucihVvJfMjLAmec39IyEx_6qawtMGysU/edit?usp=sharing"",""สบก!BA52"")"),0)</f>
        <v>0</v>
      </c>
      <c r="N122" s="627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IFERROR(__xludf.DUMMYFUNCTION("IMPORTRANGE(""https://docs.google.com/spreadsheets/d/1Yj_ptqi66GCucihVvJfMjLAmec39IyEx_6qawtMGysU/edit?usp=sharing"",""สบก!AY52"")"),0)</f>
        <v>0</v>
      </c>
      <c r="M126" s="625"/>
      <c r="N126" s="622">
        <f ca="1">IFERROR(__xludf.DUMMYFUNCTION("IMPORTRANGE(""https://docs.google.com/spreadsheets/d/1Yj_ptqi66GCucihVvJfMjLAmec39IyEx_6qawtMGysU/edit?usp=sharing"",""สบก!BC52"")"),0)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289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IFERROR(__xludf.DUMMYFUNCTION("IMPORTRANGE(""https://docs.google.com/spreadsheets/d/1XL5vhW3sbDhbH9Cz0tuDiY8C3ctxq1tqvaCgkFb8cCA/edit?usp=sharing"",""สุรินทร์!J65"")"),0)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IFERROR(__xludf.DUMMYFUNCTION("IMPORTRANGE(""https://docs.google.com/spreadsheets/d/1XL5vhW3sbDhbH9Cz0tuDiY8C3ctxq1tqvaCgkFb8cCA/edit?usp=sharing"",""สุรินทร์!I68"")"),0)</f>
        <v>0</v>
      </c>
      <c r="J138" s="267">
        <f ca="1">IFERROR(__xludf.DUMMYFUNCTION("IMPORTRANGE(""https://docs.google.com/spreadsheets/d/1XL5vhW3sbDhbH9Cz0tuDiY8C3ctxq1tqvaCgkFb8cCA/edit?usp=sharing"",""สุรินทร์!J68"")"),0)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117900</v>
      </c>
      <c r="M140" s="152">
        <f t="shared" ca="1" si="64"/>
        <v>115625</v>
      </c>
      <c r="N140" s="152">
        <f t="shared" ca="1" si="64"/>
        <v>70225</v>
      </c>
      <c r="O140" s="151">
        <f t="shared" ref="O140:O142" ca="1" si="65">IF(L140&gt;0,N140*100/L140,0)</f>
        <v>59.563189143341816</v>
      </c>
      <c r="P140" s="151">
        <f t="shared" ref="P140:P142" ca="1" si="66">IF(M140&gt;0,N140*100/M140,0)</f>
        <v>60.735135135135138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117900</v>
      </c>
      <c r="M142" s="157">
        <f t="shared" ca="1" si="68"/>
        <v>115625</v>
      </c>
      <c r="N142" s="157">
        <f t="shared" ca="1" si="68"/>
        <v>70225</v>
      </c>
      <c r="O142" s="156">
        <f t="shared" ca="1" si="65"/>
        <v>59.563189143341816</v>
      </c>
      <c r="P142" s="156">
        <f t="shared" ca="1" si="66"/>
        <v>60.735135135135138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117900</v>
      </c>
      <c r="M144" s="626">
        <f ca="1">IFERROR(__xludf.DUMMYFUNCTION("IMPORTRANGE(""https://docs.google.com/spreadsheets/d/1Yj_ptqi66GCucihVvJfMjLAmec39IyEx_6qawtMGysU/edit?usp=sharing"",""สบก!BJ52"")"),115625)</f>
        <v>115625</v>
      </c>
      <c r="N144" s="627">
        <f ca="1">IFERROR(__xludf.DUMMYFUNCTION("IMPORTRANGE(""https://docs.google.com/spreadsheets/d/1Yj_ptqi66GCucihVvJfMjLAmec39IyEx_6qawtMGysU/edit?usp=sharing"",""สบก!BK52"")"),70225)</f>
        <v>70225</v>
      </c>
      <c r="O144" s="169">
        <f ca="1">IF(L144&gt;0,N144*100/L144,0)</f>
        <v>59.563189143341816</v>
      </c>
      <c r="P144" s="169">
        <f ca="1">IF(M144&gt;0,N144*100/M144,0)</f>
        <v>60.735135135135138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IFERROR(__xludf.DUMMYFUNCTION("IMPORTRANGE(""https://docs.google.com/spreadsheets/d/1Yj_ptqi66GCucihVvJfMjLAmec39IyEx_6qawtMGysU/edit?usp=sharing"",""สบก!BG52"")"),117900)</f>
        <v>117900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IFERROR(__xludf.DUMMYFUNCTION("IMPORTRANGE(""https://docs.google.com/spreadsheets/d/1Yj_ptqi66GCucihVvJfMjLAmec39IyEx_6qawtMGysU/edit?usp=sharing"",""สบก!BH52"")"),0)</f>
        <v>0</v>
      </c>
      <c r="M148" s="625"/>
      <c r="N148" s="622">
        <f ca="1">IFERROR(__xludf.DUMMYFUNCTION("IMPORTRANGE(""https://docs.google.com/spreadsheets/d/1Yj_ptqi66GCucihVvJfMjLAmec39IyEx_6qawtMGysU/edit?usp=sharing"",""สบก!BL52"")"),0)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IFERROR(__xludf.DUMMYFUNCTION("IMPORTRANGE(""https://docs.google.com/spreadsheets/d/1XL5vhW3sbDhbH9Cz0tuDiY8C3ctxq1tqvaCgkFb8cCA/edit?usp=sharing"",""สุรินทร์!I74"")"),4)</f>
        <v>4</v>
      </c>
      <c r="J149" s="275">
        <f ca="1">IFERROR(__xludf.DUMMYFUNCTION("IMPORTRANGE(""https://docs.google.com/spreadsheets/d/1XL5vhW3sbDhbH9Cz0tuDiY8C3ctxq1tqvaCgkFb8cCA/edit?usp=sharing"",""สุรินทร์!J74"")"),2)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IFERROR(__xludf.DUMMYFUNCTION("IMPORTRANGE(""https://docs.google.com/spreadsheets/d/1XL5vhW3sbDhbH9Cz0tuDiY8C3ctxq1tqvaCgkFb8cCA/edit?usp=sharing"",""สุรินทร์!J84"")"),95)</f>
        <v>95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IFERROR(__xludf.DUMMYFUNCTION("IMPORTRANGE(""https://docs.google.com/spreadsheets/d/1XL5vhW3sbDhbH9Cz0tuDiY8C3ctxq1tqvaCgkFb8cCA/edit?usp=sharing"",""สุรินทร์!J85"")"),95)</f>
        <v>95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IFERROR(__xludf.DUMMYFUNCTION("IMPORTRANGE(""https://docs.google.com/spreadsheets/d/1XL5vhW3sbDhbH9Cz0tuDiY8C3ctxq1tqvaCgkFb8cCA/edit?usp=sharing"",""สุรินทร์!J88"")"),0)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IFERROR(__xludf.DUMMYFUNCTION("IMPORTRANGE(""https://docs.google.com/spreadsheets/d/1XL5vhW3sbDhbH9Cz0tuDiY8C3ctxq1tqvaCgkFb8cCA/edit?usp=sharing"",""สุรินทร์!I89"")"),3)</f>
        <v>3</v>
      </c>
      <c r="J164" s="284">
        <f ca="1">IFERROR(__xludf.DUMMYFUNCTION("IMPORTRANGE(""https://docs.google.com/spreadsheets/d/1XL5vhW3sbDhbH9Cz0tuDiY8C3ctxq1tqvaCgkFb8cCA/edit?usp=sharing"",""สุรินทร์!J89"")"),3)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IFERROR(__xludf.DUMMYFUNCTION("IMPORTRANGE(""https://docs.google.com/spreadsheets/d/1XL5vhW3sbDhbH9Cz0tuDiY8C3ctxq1tqvaCgkFb8cCA/edit?usp=sharing"",""สุรินทร์!J100"")"),0)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IFERROR(__xludf.DUMMYFUNCTION("IMPORTRANGE(""https://docs.google.com/spreadsheets/d/1XL5vhW3sbDhbH9Cz0tuDiY8C3ctxq1tqvaCgkFb8cCA/edit?usp=sharing"",""สุรินทร์!I101"")"),4)</f>
        <v>4</v>
      </c>
      <c r="J176" s="284">
        <f ca="1">IFERROR(__xludf.DUMMYFUNCTION("IMPORTRANGE(""https://docs.google.com/spreadsheets/d/1XL5vhW3sbDhbH9Cz0tuDiY8C3ctxq1tqvaCgkFb8cCA/edit?usp=sharing"",""สุรินทร์!J101"")"),4)</f>
        <v>4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IFERROR(__xludf.DUMMYFUNCTION("IMPORTRANGE(""https://docs.google.com/spreadsheets/d/1XL5vhW3sbDhbH9Cz0tuDiY8C3ctxq1tqvaCgkFb8cCA/edit?usp=sharing"",""สุรินทร์!J113"")"),0)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IFERROR(__xludf.DUMMYFUNCTION("IMPORTRANGE(""https://docs.google.com/spreadsheets/d/1XL5vhW3sbDhbH9Cz0tuDiY8C3ctxq1tqvaCgkFb8cCA/edit?usp=sharing"",""สุรินทร์!I114"")"),15000)</f>
        <v>15000</v>
      </c>
      <c r="J189" s="284">
        <f ca="1">IFERROR(__xludf.DUMMYFUNCTION("IMPORTRANGE(""https://docs.google.com/spreadsheets/d/1XL5vhW3sbDhbH9Cz0tuDiY8C3ctxq1tqvaCgkFb8cCA/edit?usp=sharing"",""สุรินทร์!J114"")"),0)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IFERROR(__xludf.DUMMYFUNCTION("IMPORTRANGE(""https://docs.google.com/spreadsheets/d/1XL5vhW3sbDhbH9Cz0tuDiY8C3ctxq1tqvaCgkFb8cCA/edit?usp=sharing"",""สุรินทร์!J128"")"),0)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IFERROR(__xludf.DUMMYFUNCTION("IMPORTRANGE(""https://docs.google.com/spreadsheets/d/1XL5vhW3sbDhbH9Cz0tuDiY8C3ctxq1tqvaCgkFb8cCA/edit?usp=sharing"",""สุรินทร์!I129"")"),0)</f>
        <v>0</v>
      </c>
      <c r="J204" s="284">
        <f ca="1">IFERROR(__xludf.DUMMYFUNCTION("IMPORTRANGE(""https://docs.google.com/spreadsheets/d/1XL5vhW3sbDhbH9Cz0tuDiY8C3ctxq1tqvaCgkFb8cCA/edit?usp=sharing"",""สุรินทร์!J129"")"),0)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IFERROR(__xludf.DUMMYFUNCTION("IMPORTRANGE(""https://docs.google.com/spreadsheets/d/1XL5vhW3sbDhbH9Cz0tuDiY8C3ctxq1tqvaCgkFb8cCA/edit?usp=sharing"",""สุรินทร์!J143"")"),0)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IFERROR(__xludf.DUMMYFUNCTION("IMPORTRANGE(""https://docs.google.com/spreadsheets/d/1XL5vhW3sbDhbH9Cz0tuDiY8C3ctxq1tqvaCgkFb8cCA/edit?usp=sharing"",""สุรินทร์!I144"")"),14)</f>
        <v>14</v>
      </c>
      <c r="J219" s="267">
        <f ca="1">IFERROR(__xludf.DUMMYFUNCTION("IMPORTRANGE(""https://docs.google.com/spreadsheets/d/1XL5vhW3sbDhbH9Cz0tuDiY8C3ctxq1tqvaCgkFb8cCA/edit?usp=sharing"",""สุรินทร์!J144"")"),14)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IFERROR(__xludf.DUMMYFUNCTION("IMPORTRANGE(""https://docs.google.com/spreadsheets/d/1Yj_ptqi66GCucihVvJfMjLAmec39IyEx_6qawtMGysU/edit?usp=sharing"",""สบก!BS52"")"),20210)</f>
        <v>20210</v>
      </c>
      <c r="N224" s="627">
        <f ca="1">IFERROR(__xludf.DUMMYFUNCTION("IMPORTRANGE(""https://docs.google.com/spreadsheets/d/1Yj_ptqi66GCucihVvJfMjLAmec39IyEx_6qawtMGysU/edit?usp=sharing"",""สบก!BT52"")"),20210)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IFERROR(__xludf.DUMMYFUNCTION("IMPORTRANGE(""https://docs.google.com/spreadsheets/d/1Yj_ptqi66GCucihVvJfMjLAmec39IyEx_6qawtMGysU/edit?usp=sharing"",""สบก!BP52"")"),20210)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IFERROR(__xludf.DUMMYFUNCTION("IMPORTRANGE(""https://docs.google.com/spreadsheets/d/1Yj_ptqi66GCucihVvJfMjLAmec39IyEx_6qawtMGysU/edit?usp=sharing"",""สบก!BQ52"")"),0)</f>
        <v>0</v>
      </c>
      <c r="M228" s="625"/>
      <c r="N228" s="622">
        <f ca="1">IFERROR(__xludf.DUMMYFUNCTION("IMPORTRANGE(""https://docs.google.com/spreadsheets/d/1Yj_ptqi66GCucihVvJfMjLAmec39IyEx_6qawtMGysU/edit?usp=sharing"",""สบก!BU52"")"),0)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IFERROR(__xludf.DUMMYFUNCTION("IMPORTRANGE(""https://docs.google.com/spreadsheets/d/1XL5vhW3sbDhbH9Cz0tuDiY8C3ctxq1tqvaCgkFb8cCA/edit?usp=sharing"",""สุรินทร์!I149"")"),14)</f>
        <v>14</v>
      </c>
      <c r="J229" s="267">
        <f ca="1">IFERROR(__xludf.DUMMYFUNCTION("IMPORTRANGE(""https://docs.google.com/spreadsheets/d/1XL5vhW3sbDhbH9Cz0tuDiY8C3ctxq1tqvaCgkFb8cCA/edit?usp=sharing"",""สุรินทร์!J149"")"),14)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IFERROR(__xludf.DUMMYFUNCTION("IMPORTRANGE(""https://docs.google.com/spreadsheets/d/1XL5vhW3sbDhbH9Cz0tuDiY8C3ctxq1tqvaCgkFb8cCA/edit?usp=sharing"",""สุรินทร์!J157"")"),1)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IFERROR(__xludf.DUMMYFUNCTION("IMPORTRANGE(""https://docs.google.com/spreadsheets/d/1XL5vhW3sbDhbH9Cz0tuDiY8C3ctxq1tqvaCgkFb8cCA/edit?usp=sharing"",""สุรินทร์!I158"")"),0)</f>
        <v>0</v>
      </c>
      <c r="J238" s="267">
        <f ca="1">IFERROR(__xludf.DUMMYFUNCTION("IMPORTRANGE(""https://docs.google.com/spreadsheets/d/1XL5vhW3sbDhbH9Cz0tuDiY8C3ctxq1tqvaCgkFb8cCA/edit?usp=sharing"",""สุรินทร์!J158"")"),0)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IFERROR(__xludf.DUMMYFUNCTION("IMPORTRANGE(""https://docs.google.com/spreadsheets/d/1XL5vhW3sbDhbH9Cz0tuDiY8C3ctxq1tqvaCgkFb8cCA/edit?usp=sharing"",""สุรินทร์!J166"")"),0)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IFERROR(__xludf.DUMMYFUNCTION("IMPORTRANGE(""https://docs.google.com/spreadsheets/d/1XL5vhW3sbDhbH9Cz0tuDiY8C3ctxq1tqvaCgkFb8cCA/edit?usp=sharing"",""สุรินทร์!I169"")"),0)</f>
        <v>0</v>
      </c>
      <c r="J249" s="316">
        <f ca="1">IFERROR(__xludf.DUMMYFUNCTION("IMPORTRANGE(""https://docs.google.com/spreadsheets/d/1XL5vhW3sbDhbH9Cz0tuDiY8C3ctxq1tqvaCgkFb8cCA/edit?usp=sharing"",""สุรินทร์!J169"")"),0)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IFERROR(__xludf.DUMMYFUNCTION("IMPORTRANGE(""https://docs.google.com/spreadsheets/d/1Yj_ptqi66GCucihVvJfMjLAmec39IyEx_6qawtMGysU/edit?usp=sharing"",""สบก!CB52"")"),0)</f>
        <v>0</v>
      </c>
      <c r="N254" s="627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IFERROR(__xludf.DUMMYFUNCTION("IMPORTRANGE(""https://docs.google.com/spreadsheets/d/1Yj_ptqi66GCucihVvJfMjLAmec39IyEx_6qawtMGysU/edit?usp=sharing"",""สบก!BZ52"")"),0)</f>
        <v>0</v>
      </c>
      <c r="M258" s="625"/>
      <c r="N258" s="622">
        <f ca="1">IFERROR(__xludf.DUMMYFUNCTION("IMPORTRANGE(""https://docs.google.com/spreadsheets/d/1Yj_ptqi66GCucihVvJfMjLAmec39IyEx_6qawtMGysU/edit?usp=sharing"",""สบก!CD52"")"),0)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IFERROR(__xludf.DUMMYFUNCTION("IMPORTRANGE(""https://docs.google.com/spreadsheets/d/1XL5vhW3sbDhbH9Cz0tuDiY8C3ctxq1tqvaCgkFb8cCA/edit?usp=sharing"",""สุรินทร์!J184"")"),0)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IFERROR(__xludf.DUMMYFUNCTION("IMPORTRANGE(""https://docs.google.com/spreadsheets/d/1XL5vhW3sbDhbH9Cz0tuDiY8C3ctxq1tqvaCgkFb8cCA/edit?usp=sharing"",""สุรินทร์!I185"")"),15)</f>
        <v>15</v>
      </c>
      <c r="J270" s="316">
        <f ca="1">IFERROR(__xludf.DUMMYFUNCTION("IMPORTRANGE(""https://docs.google.com/spreadsheets/d/1XL5vhW3sbDhbH9Cz0tuDiY8C3ctxq1tqvaCgkFb8cCA/edit?usp=sharing"",""สุรินทร์!J185"")"),15)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32170</v>
      </c>
      <c r="O271" s="151">
        <f t="shared" ref="O271:O273" ca="1" si="84">IF(L271&gt;0,N271*100/L271,0)</f>
        <v>58.278985507246375</v>
      </c>
      <c r="P271" s="151">
        <f t="shared" ref="P271:P273" ca="1" si="85">IF(M271&gt;0,N271*100/M271,0)</f>
        <v>99.751937984496124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32170</v>
      </c>
      <c r="O273" s="156">
        <f t="shared" ca="1" si="84"/>
        <v>58.278985507246375</v>
      </c>
      <c r="P273" s="156">
        <f t="shared" ca="1" si="85"/>
        <v>99.751937984496124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IFERROR(__xludf.DUMMYFUNCTION("IMPORTRANGE(""https://docs.google.com/spreadsheets/d/1Yj_ptqi66GCucihVvJfMjLAmec39IyEx_6qawtMGysU/edit?usp=sharing"",""สบก!CK52"")"),32250)</f>
        <v>32250</v>
      </c>
      <c r="N275" s="627">
        <f ca="1">IFERROR(__xludf.DUMMYFUNCTION("IMPORTRANGE(""https://docs.google.com/spreadsheets/d/1Yj_ptqi66GCucihVvJfMjLAmec39IyEx_6qawtMGysU/edit?usp=sharing"",""สบก!CL52"")"),32170)</f>
        <v>32170</v>
      </c>
      <c r="O275" s="169">
        <f ca="1">IF(L275&gt;0,N275*100/L275,0)</f>
        <v>58.278985507246375</v>
      </c>
      <c r="P275" s="169">
        <f ca="1">IF(M275&gt;0,N275*100/M275,0)</f>
        <v>99.751937984496124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IFERROR(__xludf.DUMMYFUNCTION("IMPORTRANGE(""https://docs.google.com/spreadsheets/d/1Yj_ptqi66GCucihVvJfMjLAmec39IyEx_6qawtMGysU/edit?usp=sharing"",""สบก!CI52"")"),0)</f>
        <v>0</v>
      </c>
      <c r="M279" s="625"/>
      <c r="N279" s="622">
        <f ca="1">IFERROR(__xludf.DUMMYFUNCTION("IMPORTRANGE(""https://docs.google.com/spreadsheets/d/1Yj_ptqi66GCucihVvJfMjLAmec39IyEx_6qawtMGysU/edit?usp=sharing"",""สบก!CM52"")"),0)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IFERROR(__xludf.DUMMYFUNCTION("IMPORTRANGE(""https://docs.google.com/spreadsheets/d/1XL5vhW3sbDhbH9Cz0tuDiY8C3ctxq1tqvaCgkFb8cCA/edit?usp=sharing"",""สุรินทร์!J197"")"),0)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IFERROR(__xludf.DUMMYFUNCTION("IMPORTRANGE(""https://docs.google.com/spreadsheets/d/1XL5vhW3sbDhbH9Cz0tuDiY8C3ctxq1tqvaCgkFb8cCA/edit?usp=sharing"",""สุรินทร์!I199"")"),0)</f>
        <v>0</v>
      </c>
      <c r="J289" s="316">
        <f ca="1">IFERROR(__xludf.DUMMYFUNCTION("IMPORTRANGE(""https://docs.google.com/spreadsheets/d/1XL5vhW3sbDhbH9Cz0tuDiY8C3ctxq1tqvaCgkFb8cCA/edit?usp=sharing"",""สุรินทร์!J199"")"),0)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IFERROR(__xludf.DUMMYFUNCTION("IMPORTRANGE(""https://docs.google.com/spreadsheets/d/1Yj_ptqi66GCucihVvJfMjLAmec39IyEx_6qawtMGysU/edit?usp=sharing"",""สบก!CT52"")"),0)</f>
        <v>0</v>
      </c>
      <c r="N294" s="627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IFERROR(__xludf.DUMMYFUNCTION("IMPORTRANGE(""https://docs.google.com/spreadsheets/d/1Yj_ptqi66GCucihVvJfMjLAmec39IyEx_6qawtMGysU/edit?usp=sharing"",""สบก!CR52"")"),0)</f>
        <v>0</v>
      </c>
      <c r="M298" s="625"/>
      <c r="N298" s="622">
        <f ca="1">IFERROR(__xludf.DUMMYFUNCTION("IMPORTRANGE(""https://docs.google.com/spreadsheets/d/1Yj_ptqi66GCucihVvJfMjLAmec39IyEx_6qawtMGysU/edit?usp=sharing"",""สบก!CV52"")"),0)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IFERROR(__xludf.DUMMYFUNCTION("IMPORTRANGE(""https://docs.google.com/spreadsheets/d/1XL5vhW3sbDhbH9Cz0tuDiY8C3ctxq1tqvaCgkFb8cCA/edit?usp=sharing"",""สุรินทร์!J213"")"),0)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IFERROR(__xludf.DUMMYFUNCTION("IMPORTRANGE(""https://docs.google.com/spreadsheets/d/1XL5vhW3sbDhbH9Cz0tuDiY8C3ctxq1tqvaCgkFb8cCA/edit?usp=sharing"",""สุรินทร์!I214"")"),0)</f>
        <v>0</v>
      </c>
      <c r="J309" s="333">
        <f ca="1">IFERROR(__xludf.DUMMYFUNCTION("IMPORTRANGE(""https://docs.google.com/spreadsheets/d/1XL5vhW3sbDhbH9Cz0tuDiY8C3ctxq1tqvaCgkFb8cCA/edit?usp=sharing"",""สุรินทร์!J214"")"),0)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IFERROR(__xludf.DUMMYFUNCTION("IMPORTRANGE(""https://docs.google.com/spreadsheets/d/1Yj_ptqi66GCucihVvJfMjLAmec39IyEx_6qawtMGysU/edit?usp=sharing"",""สบก!DC52"")"),0)</f>
        <v>0</v>
      </c>
      <c r="N314" s="627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IFERROR(__xludf.DUMMYFUNCTION("IMPORTRANGE(""https://docs.google.com/spreadsheets/d/1Yj_ptqi66GCucihVvJfMjLAmec39IyEx_6qawtMGysU/edit?usp=sharing"",""สบก!DA52"")"),0)</f>
        <v>0</v>
      </c>
      <c r="M318" s="625"/>
      <c r="N318" s="622">
        <f ca="1">IFERROR(__xludf.DUMMYFUNCTION("IMPORTRANGE(""https://docs.google.com/spreadsheets/d/1Yj_ptqi66GCucihVvJfMjLAmec39IyEx_6qawtMGysU/edit?usp=sharing"",""สบก!DE52"")"),0)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IFERROR(__xludf.DUMMYFUNCTION("IMPORTRANGE(""https://docs.google.com/spreadsheets/d/1XL5vhW3sbDhbH9Cz0tuDiY8C3ctxq1tqvaCgkFb8cCA/edit?usp=sharing"",""สุรินทร์!J226"")"),0)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IFERROR(__xludf.DUMMYFUNCTION("IMPORTRANGE(""https://docs.google.com/spreadsheets/d/1XL5vhW3sbDhbH9Cz0tuDiY8C3ctxq1tqvaCgkFb8cCA/edit?usp=sharing"",""สุรินทร์!I228"")"),1270)</f>
        <v>1270</v>
      </c>
      <c r="J328" s="339">
        <f ca="1">IFERROR(__xludf.DUMMYFUNCTION("IMPORTRANGE(""https://docs.google.com/spreadsheets/d/1XL5vhW3sbDhbH9Cz0tuDiY8C3ctxq1tqvaCgkFb8cCA/edit?usp=sharing"",""สุรินทร์!J228"")"),737)</f>
        <v>737</v>
      </c>
      <c r="K328" s="317">
        <f ca="1">IF(I328&gt;0,J328*100/I328,0)</f>
        <v>58.031496062992126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2062500</v>
      </c>
      <c r="M329" s="152">
        <f t="shared" ca="1" si="98"/>
        <v>1779570</v>
      </c>
      <c r="N329" s="152">
        <f t="shared" ca="1" si="98"/>
        <v>1218779.6499999999</v>
      </c>
      <c r="O329" s="151">
        <f t="shared" ref="O329:O331" ca="1" si="99">IF(L329&gt;0,N329*100/L329,0)</f>
        <v>59.092346666666657</v>
      </c>
      <c r="P329" s="151">
        <f t="shared" ref="P329:P331" ca="1" si="100">IF(M329&gt;0,N329*100/M329,0)</f>
        <v>68.48731154155216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2062500</v>
      </c>
      <c r="M331" s="157">
        <f t="shared" ca="1" si="102"/>
        <v>1779570</v>
      </c>
      <c r="N331" s="157">
        <f t="shared" ca="1" si="102"/>
        <v>1218779.6499999999</v>
      </c>
      <c r="O331" s="156">
        <f t="shared" ca="1" si="99"/>
        <v>59.092346666666657</v>
      </c>
      <c r="P331" s="156">
        <f t="shared" ca="1" si="100"/>
        <v>68.48731154155216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2025210</v>
      </c>
      <c r="M333" s="626">
        <f ca="1">IFERROR(__xludf.DUMMYFUNCTION("IMPORTRANGE(""https://docs.google.com/spreadsheets/d/1Yj_ptqi66GCucihVvJfMjLAmec39IyEx_6qawtMGysU/edit?usp=sharing"",""สบก!DL52"")"),1742280)</f>
        <v>1742280</v>
      </c>
      <c r="N333" s="627">
        <f ca="1">IFERROR(__xludf.DUMMYFUNCTION("IMPORTRANGE(""https://docs.google.com/spreadsheets/d/1Yj_ptqi66GCucihVvJfMjLAmec39IyEx_6qawtMGysU/edit?usp=sharing"",""สบก!DM52"")"),1181489.65)</f>
        <v>1181489.6499999999</v>
      </c>
      <c r="O333" s="169">
        <f ca="1">IF(L333&gt;0,N333*100/L333,0)</f>
        <v>58.339117918635594</v>
      </c>
      <c r="P333" s="169">
        <f ca="1">IF(M333&gt;0,N333*100/M333,0)</f>
        <v>67.812845811235846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IFERROR(__xludf.DUMMYFUNCTION("IMPORTRANGE(""https://docs.google.com/spreadsheets/d/1Yj_ptqi66GCucihVvJfMjLAmec39IyEx_6qawtMGysU/edit?usp=sharing"",""สบก!DI52"")"),1265710)</f>
        <v>1265710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IFERROR(__xludf.DUMMYFUNCTION("IMPORTRANGE(""https://docs.google.com/spreadsheets/d/1Yj_ptqi66GCucihVvJfMjLAmec39IyEx_6qawtMGysU/edit?usp=sharing"",""สบก!DJ52"")"),37290)</f>
        <v>37290</v>
      </c>
      <c r="M337" s="625">
        <f ca="1">L337</f>
        <v>37290</v>
      </c>
      <c r="N337" s="622">
        <f ca="1">IFERROR(__xludf.DUMMYFUNCTION("IMPORTRANGE(""https://docs.google.com/spreadsheets/d/1Yj_ptqi66GCucihVvJfMjLAmec39IyEx_6qawtMGysU/edit?usp=sharing"",""สบก!DN52"")"),37290)</f>
        <v>37290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IFERROR(__xludf.DUMMYFUNCTION("IMPORTRANGE(""https://docs.google.com/spreadsheets/d/1XL5vhW3sbDhbH9Cz0tuDiY8C3ctxq1tqvaCgkFb8cCA/edit?usp=sharing"",""สุรินทร์!J234"")"),513)</f>
        <v>513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IFERROR(__xludf.DUMMYFUNCTION("IMPORTRANGE(""https://docs.google.com/spreadsheets/d/1XL5vhW3sbDhbH9Cz0tuDiY8C3ctxq1tqvaCgkFb8cCA/edit?usp=sharing"",""สุรินทร์!I235"")"),6800)</f>
        <v>6800</v>
      </c>
      <c r="J340" s="188">
        <f ca="1">IFERROR(__xludf.DUMMYFUNCTION("IMPORTRANGE(""https://docs.google.com/spreadsheets/d/1XL5vhW3sbDhbH9Cz0tuDiY8C3ctxq1tqvaCgkFb8cCA/edit?usp=sharing"",""สุรินทร์!J235"")"),3489.9)</f>
        <v>3489.9</v>
      </c>
      <c r="K340" s="342">
        <f t="shared" ca="1" si="103"/>
        <v>51.32205882352941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IFERROR(__xludf.DUMMYFUNCTION("IMPORTRANGE(""https://docs.google.com/spreadsheets/d/1XL5vhW3sbDhbH9Cz0tuDiY8C3ctxq1tqvaCgkFb8cCA/edit?usp=sharing"",""สุรินทร์!I236"")"),1270)</f>
        <v>1270</v>
      </c>
      <c r="J341" s="188">
        <f ca="1">IFERROR(__xludf.DUMMYFUNCTION("IMPORTRANGE(""https://docs.google.com/spreadsheets/d/1XL5vhW3sbDhbH9Cz0tuDiY8C3ctxq1tqvaCgkFb8cCA/edit?usp=sharing"",""สุรินทร์!J236"")"),670)</f>
        <v>670</v>
      </c>
      <c r="K341" s="342">
        <f t="shared" ca="1" si="103"/>
        <v>52.755905511811022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IFERROR(__xludf.DUMMYFUNCTION("IMPORTRANGE(""https://docs.google.com/spreadsheets/d/1XL5vhW3sbDhbH9Cz0tuDiY8C3ctxq1tqvaCgkFb8cCA/edit?usp=sharing"",""สุรินทร์!J237"")"),5015.17)</f>
        <v>5015.17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IFERROR(__xludf.DUMMYFUNCTION("IMPORTRANGE(""https://docs.google.com/spreadsheets/d/1XL5vhW3sbDhbH9Cz0tuDiY8C3ctxq1tqvaCgkFb8cCA/edit?usp=sharing"",""สุรินทร์!I238"")"),1270)</f>
        <v>1270</v>
      </c>
      <c r="J343" s="188">
        <f ca="1">IFERROR(__xludf.DUMMYFUNCTION("IMPORTRANGE(""https://docs.google.com/spreadsheets/d/1XL5vhW3sbDhbH9Cz0tuDiY8C3ctxq1tqvaCgkFb8cCA/edit?usp=sharing"",""สุรินทร์!J238"")"),4)</f>
        <v>4</v>
      </c>
      <c r="K343" s="342">
        <f t="shared" ca="1" si="103"/>
        <v>0.31496062992125984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IFERROR(__xludf.DUMMYFUNCTION("IMPORTRANGE(""https://docs.google.com/spreadsheets/d/1XL5vhW3sbDhbH9Cz0tuDiY8C3ctxq1tqvaCgkFb8cCA/edit?usp=sharing"",""สุรินทร์!J239"")"),20.23)</f>
        <v>20.23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IFERROR(__xludf.DUMMYFUNCTION("IMPORTRANGE(""https://docs.google.com/spreadsheets/d/1XL5vhW3sbDhbH9Cz0tuDiY8C3ctxq1tqvaCgkFb8cCA/edit?usp=sharing"",""สุรินทร์!I240"")"),1270)</f>
        <v>1270</v>
      </c>
      <c r="J345" s="188">
        <f ca="1">IFERROR(__xludf.DUMMYFUNCTION("IMPORTRANGE(""https://docs.google.com/spreadsheets/d/1XL5vhW3sbDhbH9Cz0tuDiY8C3ctxq1tqvaCgkFb8cCA/edit?usp=sharing"",""สุรินทร์!J240"")"),737)</f>
        <v>737</v>
      </c>
      <c r="K345" s="342">
        <f t="shared" ca="1" si="103"/>
        <v>58.031496062992126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IFERROR(__xludf.DUMMYFUNCTION("IMPORTRANGE(""https://docs.google.com/spreadsheets/d/1XL5vhW3sbDhbH9Cz0tuDiY8C3ctxq1tqvaCgkFb8cCA/edit?usp=sharing"",""สุรินทร์!J241"")"),5458.58)</f>
        <v>5458.58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IFERROR(__xludf.DUMMYFUNCTION("IMPORTRANGE(""https://docs.google.com/spreadsheets/d/1XL5vhW3sbDhbH9Cz0tuDiY8C3ctxq1tqvaCgkFb8cCA/edit?usp=sharing"",""สุรินทร์!L242"")"),2923091)</f>
        <v>2923091</v>
      </c>
      <c r="M347" s="358"/>
      <c r="N347" s="358">
        <f ca="1">IFERROR(__xludf.DUMMYFUNCTION("IMPORTRANGE(""https://docs.google.com/spreadsheets/d/1XL5vhW3sbDhbH9Cz0tuDiY8C3ctxq1tqvaCgkFb8cCA/edit?usp=sharing"",""สุรินทร์!M242"")"),1040736.07)</f>
        <v>1040736.07</v>
      </c>
      <c r="O347" s="358">
        <f ca="1">+IF(L347&gt;0,N347*100/L347,0)</f>
        <v>35.603957249363773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IFERROR(__xludf.DUMMYFUNCTION("IMPORTRANGE(""https://docs.google.com/spreadsheets/d/1XL5vhW3sbDhbH9Cz0tuDiY8C3ctxq1tqvaCgkFb8cCA/edit?usp=sharing"",""สุรินทร์!M244"")"),18408)</f>
        <v>18408</v>
      </c>
      <c r="O349" s="373">
        <f ca="1">+IF(L349&gt;0,N349*100/L349,0)</f>
        <v>9.419711390850475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IFERROR(__xludf.DUMMYFUNCTION("IMPORTRANGE(""https://docs.google.com/spreadsheets/d/1XL5vhW3sbDhbH9Cz0tuDiY8C3ctxq1tqvaCgkFb8cCA/edit?usp=sharing"",""สุรินทร์!L247"")"),195420)</f>
        <v>195420</v>
      </c>
      <c r="M352" s="165"/>
      <c r="N352" s="164">
        <f ca="1">IFERROR(__xludf.DUMMYFUNCTION("IMPORTRANGE(""https://docs.google.com/spreadsheets/d/1XL5vhW3sbDhbH9Cz0tuDiY8C3ctxq1tqvaCgkFb8cCA/edit?usp=sharing"",""สุรินทร์!M247"")"),18408)</f>
        <v>18408</v>
      </c>
      <c r="O352" s="165">
        <f t="shared" ca="1" si="105"/>
        <v>9.419711390850475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IFERROR(__xludf.DUMMYFUNCTION("IMPORTRANGE(""https://docs.google.com/spreadsheets/d/1XL5vhW3sbDhbH9Cz0tuDiY8C3ctxq1tqvaCgkFb8cCA/edit?usp=sharing"",""สุรินทร์!L249"")"),195420)</f>
        <v>195420</v>
      </c>
      <c r="M354" s="169"/>
      <c r="N354" s="168">
        <f ca="1">IFERROR(__xludf.DUMMYFUNCTION("IMPORTRANGE(""https://docs.google.com/spreadsheets/d/1XL5vhW3sbDhbH9Cz0tuDiY8C3ctxq1tqvaCgkFb8cCA/edit?usp=sharing"",""สุรินทร์!M249"")"),18408)</f>
        <v>18408</v>
      </c>
      <c r="O354" s="169">
        <f t="shared" ca="1" si="105"/>
        <v>9.419711390850475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IFERROR(__xludf.DUMMYFUNCTION("IMPORTRANGE(""https://docs.google.com/spreadsheets/d/1XL5vhW3sbDhbH9Cz0tuDiY8C3ctxq1tqvaCgkFb8cCA/edit?usp=sharing"",""สุรินทร์!M250"")"),18408)</f>
        <v>18408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IFERROR(__xludf.DUMMYFUNCTION("IMPORTRANGE(""https://docs.google.com/spreadsheets/d/1XL5vhW3sbDhbH9Cz0tuDiY8C3ctxq1tqvaCgkFb8cCA/edit?usp=sharing"",""สุรินทร์!J274"")"),0)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IFERROR(__xludf.DUMMYFUNCTION("IMPORTRANGE(""https://docs.google.com/spreadsheets/d/1XL5vhW3sbDhbH9Cz0tuDiY8C3ctxq1tqvaCgkFb8cCA/edit?usp=sharing"",""สุรินทร์!M275"")"),256625)</f>
        <v>256625</v>
      </c>
      <c r="O380" s="373">
        <f ca="1">+IF(L380&gt;0,N380*100/L380,0)</f>
        <v>24.950900322793917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IFERROR(__xludf.DUMMYFUNCTION("IMPORTRANGE(""https://docs.google.com/spreadsheets/d/1XL5vhW3sbDhbH9Cz0tuDiY8C3ctxq1tqvaCgkFb8cCA/edit?usp=sharing"",""สุรินทร์!M278"")"),256625)</f>
        <v>256625</v>
      </c>
      <c r="O383" s="165">
        <f t="shared" ca="1" si="109"/>
        <v>24.950900322793917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IFERROR(__xludf.DUMMYFUNCTION("IMPORTRANGE(""https://docs.google.com/spreadsheets/d/1XL5vhW3sbDhbH9Cz0tuDiY8C3ctxq1tqvaCgkFb8cCA/edit?usp=sharing"",""สุรินทร์!M280"")"),256625)</f>
        <v>256625</v>
      </c>
      <c r="O385" s="169">
        <f t="shared" ca="1" si="109"/>
        <v>24.950900322793917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IFERROR(__xludf.DUMMYFUNCTION("IMPORTRANGE(""https://docs.google.com/spreadsheets/d/1XL5vhW3sbDhbH9Cz0tuDiY8C3ctxq1tqvaCgkFb8cCA/edit?usp=sharing"",""สุรินทร์!M281"")"),179405)</f>
        <v>179405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IFERROR(__xludf.DUMMYFUNCTION("IMPORTRANGE(""https://docs.google.com/spreadsheets/d/1XL5vhW3sbDhbH9Cz0tuDiY8C3ctxq1tqvaCgkFb8cCA/edit?usp=sharing"",""สุรินทร์!M283"")"),52870)</f>
        <v>52870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IFERROR(__xludf.DUMMYFUNCTION("IMPORTRANGE(""https://docs.google.com/spreadsheets/d/1XL5vhW3sbDhbH9Cz0tuDiY8C3ctxq1tqvaCgkFb8cCA/edit?usp=sharing"",""สุรินทร์!M284"")"),24350)</f>
        <v>24350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IFERROR(__xludf.DUMMYFUNCTION("IMPORTRANGE(""https://docs.google.com/spreadsheets/d/1XL5vhW3sbDhbH9Cz0tuDiY8C3ctxq1tqvaCgkFb8cCA/edit?usp=sharing"",""สุรินทร์!J293"")"),127)</f>
        <v>127</v>
      </c>
      <c r="K398" s="163">
        <f t="shared" ca="1" si="110"/>
        <v>127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IFERROR(__xludf.DUMMYFUNCTION("IMPORTRANGE(""https://docs.google.com/spreadsheets/d/1XL5vhW3sbDhbH9Cz0tuDiY8C3ctxq1tqvaCgkFb8cCA/edit?usp=sharing"",""สุรินทร์!J295"")"),0)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IFERROR(__xludf.DUMMYFUNCTION("IMPORTRANGE(""https://docs.google.com/spreadsheets/d/1XL5vhW3sbDhbH9Cz0tuDiY8C3ctxq1tqvaCgkFb8cCA/edit?usp=sharing"",""สุรินทร์!M296"")"),101269)</f>
        <v>101269</v>
      </c>
      <c r="O401" s="373">
        <f ca="1">+IF(L401&gt;0,N401*100/L401,0)</f>
        <v>63.312910284463896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IFERROR(__xludf.DUMMYFUNCTION("IMPORTRANGE(""https://docs.google.com/spreadsheets/d/1XL5vhW3sbDhbH9Cz0tuDiY8C3ctxq1tqvaCgkFb8cCA/edit?usp=sharing"",""สุรินทร์!M299"")"),101269)</f>
        <v>101269</v>
      </c>
      <c r="O404" s="169">
        <f t="shared" ca="1" si="112"/>
        <v>63.312910284463896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IFERROR(__xludf.DUMMYFUNCTION("IMPORTRANGE(""https://docs.google.com/spreadsheets/d/1XL5vhW3sbDhbH9Cz0tuDiY8C3ctxq1tqvaCgkFb8cCA/edit?usp=sharing"",""สุรินทร์!M301"")"),101269)</f>
        <v>101269</v>
      </c>
      <c r="O406" s="169">
        <f t="shared" ca="1" si="112"/>
        <v>63.312910284463896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IFERROR(__xludf.DUMMYFUNCTION("IMPORTRANGE(""https://docs.google.com/spreadsheets/d/1XL5vhW3sbDhbH9Cz0tuDiY8C3ctxq1tqvaCgkFb8cCA/edit?usp=sharing"",""สุรินทร์!M305"")"),3719)</f>
        <v>3719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IFERROR(__xludf.DUMMYFUNCTION("IMPORTRANGE(""https://docs.google.com/spreadsheets/d/1XL5vhW3sbDhbH9Cz0tuDiY8C3ctxq1tqvaCgkFb8cCA/edit?usp=sharing"",""สุรินทร์!J329"")"),0)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IFERROR(__xludf.DUMMYFUNCTION("IMPORTRANGE(""https://docs.google.com/spreadsheets/d/1XL5vhW3sbDhbH9Cz0tuDiY8C3ctxq1tqvaCgkFb8cCA/edit?usp=sharing"",""สุรินทร์!M330"")"),185437)</f>
        <v>185437</v>
      </c>
      <c r="O435" s="412">
        <f t="shared" ref="O435:O439" ca="1" si="114">+IF(L435&gt;0,N435*100/L435,0)</f>
        <v>83.530180180180182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IFERROR(__xludf.DUMMYFUNCTION("IMPORTRANGE(""https://docs.google.com/spreadsheets/d/1XL5vhW3sbDhbH9Cz0tuDiY8C3ctxq1tqvaCgkFb8cCA/edit?usp=sharing"",""สุรินทร์!M332"")"),185437)</f>
        <v>185437</v>
      </c>
      <c r="O437" s="169">
        <f t="shared" ca="1" si="114"/>
        <v>83.530180180180182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IFERROR(__xludf.DUMMYFUNCTION("IMPORTRANGE(""https://docs.google.com/spreadsheets/d/1XL5vhW3sbDhbH9Cz0tuDiY8C3ctxq1tqvaCgkFb8cCA/edit?usp=sharing"",""สุรินทร์!M334"")"),185437)</f>
        <v>185437</v>
      </c>
      <c r="O439" s="169">
        <f t="shared" ca="1" si="114"/>
        <v>83.530180180180182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IFERROR(__xludf.DUMMYFUNCTION("IMPORTRANGE(""https://docs.google.com/spreadsheets/d/1XL5vhW3sbDhbH9Cz0tuDiY8C3ctxq1tqvaCgkFb8cCA/edit?usp=sharing"",""สุรินทร์!M335"")"),162548)</f>
        <v>162548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IFERROR(__xludf.DUMMYFUNCTION("IMPORTRANGE(""https://docs.google.com/spreadsheets/d/1XL5vhW3sbDhbH9Cz0tuDiY8C3ctxq1tqvaCgkFb8cCA/edit?usp=sharing"",""สุรินทร์!M337"")"),15410)</f>
        <v>15410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IFERROR(__xludf.DUMMYFUNCTION("IMPORTRANGE(""https://docs.google.com/spreadsheets/d/1XL5vhW3sbDhbH9Cz0tuDiY8C3ctxq1tqvaCgkFb8cCA/edit?usp=sharing"",""สุรินทร์!M338"")"),7479)</f>
        <v>7479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IFERROR(__xludf.DUMMYFUNCTION("IMPORTRANGE(""https://docs.google.com/spreadsheets/d/1XL5vhW3sbDhbH9Cz0tuDiY8C3ctxq1tqvaCgkFb8cCA/edit?usp=sharing"",""สุรินทร์!J349"")"),0)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IFERROR(__xludf.DUMMYFUNCTION("IMPORTRANGE(""https://docs.google.com/spreadsheets/d/1XL5vhW3sbDhbH9Cz0tuDiY8C3ctxq1tqvaCgkFb8cCA/edit?usp=sharing"",""สุรินทร์!J350"")"),37135)</f>
        <v>37135</v>
      </c>
      <c r="K455" s="372">
        <f ca="1">IF(I455&gt;0,J455*100/I455,0)</f>
        <v>81.905203026092323</v>
      </c>
      <c r="L455" s="373">
        <f ca="1">IFERROR(__xludf.DUMMYFUNCTION("IMPORTRANGE(""https://docs.google.com/spreadsheets/d/1XL5vhW3sbDhbH9Cz0tuDiY8C3ctxq1tqvaCgkFb8cCA/edit?usp=sharing"",""สุรินทร์!L350"")"),776461)</f>
        <v>776461</v>
      </c>
      <c r="M455" s="373"/>
      <c r="N455" s="373">
        <f ca="1">IFERROR(__xludf.DUMMYFUNCTION("IMPORTRANGE(""https://docs.google.com/spreadsheets/d/1XL5vhW3sbDhbH9Cz0tuDiY8C3ctxq1tqvaCgkFb8cCA/edit?usp=sharing"",""สุรินทร์!M350"")"),207987.07)</f>
        <v>207987.07</v>
      </c>
      <c r="O455" s="373">
        <f t="shared" ref="O455:O459" ca="1" si="116">+IF(L455&gt;0,N455*100/L455,0)</f>
        <v>26.786544333842912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IFERROR(__xludf.DUMMYFUNCTION("IMPORTRANGE(""https://docs.google.com/spreadsheets/d/1XL5vhW3sbDhbH9Cz0tuDiY8C3ctxq1tqvaCgkFb8cCA/edit?usp=sharing"",""สุรินทร์!L352"")"),776461)</f>
        <v>776461</v>
      </c>
      <c r="M457" s="165"/>
      <c r="N457" s="169">
        <f ca="1">IFERROR(__xludf.DUMMYFUNCTION("IMPORTRANGE(""https://docs.google.com/spreadsheets/d/1XL5vhW3sbDhbH9Cz0tuDiY8C3ctxq1tqvaCgkFb8cCA/edit?usp=sharing"",""สุรินทร์!M352"")"),207987.07)</f>
        <v>207987.07</v>
      </c>
      <c r="O457" s="169">
        <f t="shared" ca="1" si="116"/>
        <v>26.786544333842912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IFERROR(__xludf.DUMMYFUNCTION("IMPORTRANGE(""https://docs.google.com/spreadsheets/d/1XL5vhW3sbDhbH9Cz0tuDiY8C3ctxq1tqvaCgkFb8cCA/edit?usp=sharing"",""สุรินทร์!L354"")"),776461)</f>
        <v>776461</v>
      </c>
      <c r="M459" s="169"/>
      <c r="N459" s="169">
        <f ca="1">IFERROR(__xludf.DUMMYFUNCTION("IMPORTRANGE(""https://docs.google.com/spreadsheets/d/1XL5vhW3sbDhbH9Cz0tuDiY8C3ctxq1tqvaCgkFb8cCA/edit?usp=sharing"",""สุรินทร์!M354"")"),207987.07)</f>
        <v>207987.07</v>
      </c>
      <c r="O459" s="169">
        <f t="shared" ca="1" si="116"/>
        <v>26.786544333842912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IFERROR(__xludf.DUMMYFUNCTION("IMPORTRANGE(""https://docs.google.com/spreadsheets/d/1XL5vhW3sbDhbH9Cz0tuDiY8C3ctxq1tqvaCgkFb8cCA/edit?usp=sharing"",""สุรินทร์!M357"")"),73451)</f>
        <v>73451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IFERROR(__xludf.DUMMYFUNCTION("IMPORTRANGE(""https://docs.google.com/spreadsheets/d/1XL5vhW3sbDhbH9Cz0tuDiY8C3ctxq1tqvaCgkFb8cCA/edit?usp=sharing"",""สุรินทร์!M358"")"),134536.07)</f>
        <v>134536.07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IFERROR(__xludf.DUMMYFUNCTION("IMPORTRANGE(""https://docs.google.com/spreadsheets/d/1XL5vhW3sbDhbH9Cz0tuDiY8C3ctxq1tqvaCgkFb8cCA/edit?usp=sharing"",""สุรินทร์!I359"")"),45339)</f>
        <v>45339</v>
      </c>
      <c r="J464" s="267">
        <f ca="1">IFERROR(__xludf.DUMMYFUNCTION("IMPORTRANGE(""https://docs.google.com/spreadsheets/d/1XL5vhW3sbDhbH9Cz0tuDiY8C3ctxq1tqvaCgkFb8cCA/edit?usp=sharing"",""สุรินทร์!J359"")"),37135)</f>
        <v>37135</v>
      </c>
      <c r="K464" s="268">
        <f t="shared" ref="K464:K515" ca="1" si="117">IF(I464&gt;0,J464*100/I464,0)</f>
        <v>81.905203026092323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IFERROR(__xludf.DUMMYFUNCTION("IMPORTRANGE(""https://docs.google.com/spreadsheets/d/1XL5vhW3sbDhbH9Cz0tuDiY8C3ctxq1tqvaCgkFb8cCA/edit?usp=sharing"",""สุรินทร์!J376"")"),37135)</f>
        <v>37135</v>
      </c>
      <c r="K481" s="202">
        <f t="shared" ca="1" si="117"/>
        <v>81.905203026092323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IFERROR(__xludf.DUMMYFUNCTION("IMPORTRANGE(""https://docs.google.com/spreadsheets/d/1XL5vhW3sbDhbH9Cz0tuDiY8C3ctxq1tqvaCgkFb8cCA/edit?usp=sharing"",""สุรินทร์!J377"")"),5527)</f>
        <v>5527</v>
      </c>
      <c r="K482" s="163">
        <f t="shared" ca="1" si="117"/>
        <v>86.998268534550604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IFERROR(__xludf.DUMMYFUNCTION("IMPORTRANGE(""https://docs.google.com/spreadsheets/d/1XL5vhW3sbDhbH9Cz0tuDiY8C3ctxq1tqvaCgkFb8cCA/edit?usp=sharing"",""สุรินทร์!J378"")"),36792)</f>
        <v>36792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IFERROR(__xludf.DUMMYFUNCTION("IMPORTRANGE(""https://docs.google.com/spreadsheets/d/1XL5vhW3sbDhbH9Cz0tuDiY8C3ctxq1tqvaCgkFb8cCA/edit?usp=sharing"",""สุรินทร์!J379"")"),5495)</f>
        <v>5495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IFERROR(__xludf.DUMMYFUNCTION("IMPORTRANGE(""https://docs.google.com/spreadsheets/d/1XL5vhW3sbDhbH9Cz0tuDiY8C3ctxq1tqvaCgkFb8cCA/edit?usp=sharing"",""สุรินทร์!J380"")"),8)</f>
        <v>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IFERROR(__xludf.DUMMYFUNCTION("IMPORTRANGE(""https://docs.google.com/spreadsheets/d/1XL5vhW3sbDhbH9Cz0tuDiY8C3ctxq1tqvaCgkFb8cCA/edit?usp=sharing"",""สุรินทร์!J381"")"),2)</f>
        <v>2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IFERROR(__xludf.DUMMYFUNCTION("IMPORTRANGE(""https://docs.google.com/spreadsheets/d/1XL5vhW3sbDhbH9Cz0tuDiY8C3ctxq1tqvaCgkFb8cCA/edit?usp=sharing"",""สุรินทร์!J382"")"),335)</f>
        <v>335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IFERROR(__xludf.DUMMYFUNCTION("IMPORTRANGE(""https://docs.google.com/spreadsheets/d/1XL5vhW3sbDhbH9Cz0tuDiY8C3ctxq1tqvaCgkFb8cCA/edit?usp=sharing"",""สุรินทร์!J383"")"),30)</f>
        <v>30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IFERROR(__xludf.DUMMYFUNCTION("IMPORTRANGE(""https://docs.google.com/spreadsheets/d/1XL5vhW3sbDhbH9Cz0tuDiY8C3ctxq1tqvaCgkFb8cCA/edit?usp=sharing"",""สุรินทร์!J384"")"),335)</f>
        <v>335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IFERROR(__xludf.DUMMYFUNCTION("IMPORTRANGE(""https://docs.google.com/spreadsheets/d/1XL5vhW3sbDhbH9Cz0tuDiY8C3ctxq1tqvaCgkFb8cCA/edit?usp=sharing"",""สุรินทร์!J385"")"),30)</f>
        <v>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IFERROR(__xludf.DUMMYFUNCTION("IMPORTRANGE(""https://docs.google.com/spreadsheets/d/1XL5vhW3sbDhbH9Cz0tuDiY8C3ctxq1tqvaCgkFb8cCA/edit?usp=sharing"",""สุรินทร์!J392"")"),2205.42)</f>
        <v>2205.42</v>
      </c>
      <c r="K497" s="444">
        <f t="shared" ca="1" si="117"/>
        <v>48.311500547645124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IFERROR(__xludf.DUMMYFUNCTION("IMPORTRANGE(""https://docs.google.com/spreadsheets/d/1XL5vhW3sbDhbH9Cz0tuDiY8C3ctxq1tqvaCgkFb8cCA/edit?usp=sharing"",""สุรินทร์!J393"")"),2205.42)</f>
        <v>2205.42</v>
      </c>
      <c r="K498" s="202">
        <f t="shared" ca="1" si="117"/>
        <v>48.311500547645124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IFERROR(__xludf.DUMMYFUNCTION("IMPORTRANGE(""https://docs.google.com/spreadsheets/d/1XL5vhW3sbDhbH9Cz0tuDiY8C3ctxq1tqvaCgkFb8cCA/edit?usp=sharing"",""สุรินทร์!J394"")"),424)</f>
        <v>424</v>
      </c>
      <c r="K499" s="202">
        <f t="shared" ca="1" si="117"/>
        <v>47.163515016685203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IFERROR(__xludf.DUMMYFUNCTION("IMPORTRANGE(""https://docs.google.com/spreadsheets/d/1XL5vhW3sbDhbH9Cz0tuDiY8C3ctxq1tqvaCgkFb8cCA/edit?usp=sharing"",""สุรินทร์!J395"")"),1780.42)</f>
        <v>1780.42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IFERROR(__xludf.DUMMYFUNCTION("IMPORTRANGE(""https://docs.google.com/spreadsheets/d/1XL5vhW3sbDhbH9Cz0tuDiY8C3ctxq1tqvaCgkFb8cCA/edit?usp=sharing"",""สุรินทร์!J396"")"),359)</f>
        <v>359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IFERROR(__xludf.DUMMYFUNCTION("IMPORTRANGE(""https://docs.google.com/spreadsheets/d/1XL5vhW3sbDhbH9Cz0tuDiY8C3ctxq1tqvaCgkFb8cCA/edit?usp=sharing"",""สุรินทร์!J397"")"),1590.42)</f>
        <v>1590.42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IFERROR(__xludf.DUMMYFUNCTION("IMPORTRANGE(""https://docs.google.com/spreadsheets/d/1XL5vhW3sbDhbH9Cz0tuDiY8C3ctxq1tqvaCgkFb8cCA/edit?usp=sharing"",""สุรินทร์!J398"")"),313)</f>
        <v>313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IFERROR(__xludf.DUMMYFUNCTION("IMPORTRANGE(""https://docs.google.com/spreadsheets/d/1XL5vhW3sbDhbH9Cz0tuDiY8C3ctxq1tqvaCgkFb8cCA/edit?usp=sharing"",""สุรินทร์!J399"")"),190)</f>
        <v>190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IFERROR(__xludf.DUMMYFUNCTION("IMPORTRANGE(""https://docs.google.com/spreadsheets/d/1XL5vhW3sbDhbH9Cz0tuDiY8C3ctxq1tqvaCgkFb8cCA/edit?usp=sharing"",""สุรินทร์!J400"")"),46)</f>
        <v>46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IFERROR(__xludf.DUMMYFUNCTION("IMPORTRANGE(""https://docs.google.com/spreadsheets/d/1XL5vhW3sbDhbH9Cz0tuDiY8C3ctxq1tqvaCgkFb8cCA/edit?usp=sharing"",""สุรินทร์!J403"")"),425)</f>
        <v>425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IFERROR(__xludf.DUMMYFUNCTION("IMPORTRANGE(""https://docs.google.com/spreadsheets/d/1XL5vhW3sbDhbH9Cz0tuDiY8C3ctxq1tqvaCgkFb8cCA/edit?usp=sharing"",""สุรินทร์!J404"")"),65)</f>
        <v>65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IFERROR(__xludf.DUMMYFUNCTION("IMPORTRANGE(""https://docs.google.com/spreadsheets/d/1XL5vhW3sbDhbH9Cz0tuDiY8C3ctxq1tqvaCgkFb8cCA/edit?usp=sharing"",""สุรินทร์!J405"")"),425)</f>
        <v>425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IFERROR(__xludf.DUMMYFUNCTION("IMPORTRANGE(""https://docs.google.com/spreadsheets/d/1XL5vhW3sbDhbH9Cz0tuDiY8C3ctxq1tqvaCgkFb8cCA/edit?usp=sharing"",""สุรินทร์!J406"")"),65)</f>
        <v>65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IFERROR(__xludf.DUMMYFUNCTION("IMPORTRANGE(""https://docs.google.com/spreadsheets/d/1XL5vhW3sbDhbH9Cz0tuDiY8C3ctxq1tqvaCgkFb8cCA/edit?usp=sharing"",""สุรินทร์!I411"")"),0)</f>
        <v>0</v>
      </c>
      <c r="J516" s="267">
        <f ca="1">IFERROR(__xludf.DUMMYFUNCTION("IMPORTRANGE(""https://docs.google.com/spreadsheets/d/1XL5vhW3sbDhbH9Cz0tuDiY8C3ctxq1tqvaCgkFb8cCA/edit?usp=sharing"",""สุรินทร์!J411"")"),0)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IFERROR(__xludf.DUMMYFUNCTION("IMPORTRANGE(""https://docs.google.com/spreadsheets/d/1XL5vhW3sbDhbH9Cz0tuDiY8C3ctxq1tqvaCgkFb8cCA/edit?usp=sharing"",""สุรินทร์!I412"")"),0)</f>
        <v>0</v>
      </c>
      <c r="J517" s="284">
        <f ca="1">IFERROR(__xludf.DUMMYFUNCTION("IMPORTRANGE(""https://docs.google.com/spreadsheets/d/1XL5vhW3sbDhbH9Cz0tuDiY8C3ctxq1tqvaCgkFb8cCA/edit?usp=sharing"",""สุรินทร์!J412"")"),0)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IFERROR(__xludf.DUMMYFUNCTION("IMPORTRANGE(""https://docs.google.com/spreadsheets/d/1XL5vhW3sbDhbH9Cz0tuDiY8C3ctxq1tqvaCgkFb8cCA/edit?usp=sharing"",""สุรินทร์!I413"")"),0)</f>
        <v>0</v>
      </c>
      <c r="J518" s="284">
        <f ca="1">IFERROR(__xludf.DUMMYFUNCTION("IMPORTRANGE(""https://docs.google.com/spreadsheets/d/1XL5vhW3sbDhbH9Cz0tuDiY8C3ctxq1tqvaCgkFb8cCA/edit?usp=sharing"",""สุรินทร์!J413"")"),0)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IFERROR(__xludf.DUMMYFUNCTION("IMPORTRANGE(""https://docs.google.com/spreadsheets/d/1XL5vhW3sbDhbH9Cz0tuDiY8C3ctxq1tqvaCgkFb8cCA/edit?usp=sharing"",""สุรินทร์!I420"")"),40)</f>
        <v>40</v>
      </c>
      <c r="J525" s="284">
        <f ca="1">IFERROR(__xludf.DUMMYFUNCTION("IMPORTRANGE(""https://docs.google.com/spreadsheets/d/1XL5vhW3sbDhbH9Cz0tuDiY8C3ctxq1tqvaCgkFb8cCA/edit?usp=sharing"",""สุรินทร์!J420"")"),0)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IFERROR(__xludf.DUMMYFUNCTION("IMPORTRANGE(""https://docs.google.com/spreadsheets/d/1XL5vhW3sbDhbH9Cz0tuDiY8C3ctxq1tqvaCgkFb8cCA/edit?usp=sharing"",""สุรินทร์!I421"")"),4)</f>
        <v>4</v>
      </c>
      <c r="J526" s="284">
        <f ca="1">IFERROR(__xludf.DUMMYFUNCTION("IMPORTRANGE(""https://docs.google.com/spreadsheets/d/1XL5vhW3sbDhbH9Cz0tuDiY8C3ctxq1tqvaCgkFb8cCA/edit?usp=sharing"",""สุรินทร์!J421"")"),0)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IFERROR(__xludf.DUMMYFUNCTION("IMPORTRANGE(""https://docs.google.com/spreadsheets/d/1XL5vhW3sbDhbH9Cz0tuDiY8C3ctxq1tqvaCgkFb8cCA/edit?usp=sharing"",""สุรินทร์!M430"")"),31220)</f>
        <v>31220</v>
      </c>
      <c r="O535" s="169">
        <f t="shared" ca="1" si="118"/>
        <v>90.914385556202674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IFERROR(__xludf.DUMMYFUNCTION("IMPORTRANGE(""https://docs.google.com/spreadsheets/d/1XL5vhW3sbDhbH9Cz0tuDiY8C3ctxq1tqvaCgkFb8cCA/edit?usp=sharing"",""สุรินทร์!M432"")"),31220)</f>
        <v>31220</v>
      </c>
      <c r="O537" s="169">
        <f t="shared" ca="1" si="118"/>
        <v>90.914385556202674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IFERROR(__xludf.DUMMYFUNCTION("IMPORTRANGE(""https://docs.google.com/spreadsheets/d/1XL5vhW3sbDhbH9Cz0tuDiY8C3ctxq1tqvaCgkFb8cCA/edit?usp=sharing"",""สุรินทร์!J459"")"),5577)</f>
        <v>5577</v>
      </c>
      <c r="K564" s="372">
        <f ca="1">IF(I564&gt;0,J564*100/I564,0)</f>
        <v>101.4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IFERROR(__xludf.DUMMYFUNCTION("IMPORTRANGE(""https://docs.google.com/spreadsheets/d/1XL5vhW3sbDhbH9Cz0tuDiY8C3ctxq1tqvaCgkFb8cCA/edit?usp=sharing"",""สุรินทร์!M459"")"),106930)</f>
        <v>106930</v>
      </c>
      <c r="O564" s="373">
        <f t="shared" ref="O564:O568" ca="1" si="122">+IF(L564&gt;0,N564*100/L564,0)</f>
        <v>65.520833333333329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IFERROR(__xludf.DUMMYFUNCTION("IMPORTRANGE(""https://docs.google.com/spreadsheets/d/1XL5vhW3sbDhbH9Cz0tuDiY8C3ctxq1tqvaCgkFb8cCA/edit?usp=sharing"",""สุรินทร์!M461"")"),106930)</f>
        <v>106930</v>
      </c>
      <c r="O566" s="169">
        <f t="shared" ca="1" si="122"/>
        <v>65.520833333333329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IFERROR(__xludf.DUMMYFUNCTION("IMPORTRANGE(""https://docs.google.com/spreadsheets/d/1XL5vhW3sbDhbH9Cz0tuDiY8C3ctxq1tqvaCgkFb8cCA/edit?usp=sharing"",""สุรินทร์!M463"")"),106930)</f>
        <v>106930</v>
      </c>
      <c r="O568" s="169">
        <f t="shared" ca="1" si="122"/>
        <v>65.520833333333329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IFERROR(__xludf.DUMMYFUNCTION("IMPORTRANGE(""https://docs.google.com/spreadsheets/d/1XL5vhW3sbDhbH9Cz0tuDiY8C3ctxq1tqvaCgkFb8cCA/edit?usp=sharing"",""สุรินทร์!M466"")"),73451)</f>
        <v>73451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IFERROR(__xludf.DUMMYFUNCTION("IMPORTRANGE(""https://docs.google.com/spreadsheets/d/1XL5vhW3sbDhbH9Cz0tuDiY8C3ctxq1tqvaCgkFb8cCA/edit?usp=sharing"",""สุรินทร์!M467"")"),33479)</f>
        <v>33479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IFERROR(__xludf.DUMMYFUNCTION("IMPORTRANGE(""https://docs.google.com/spreadsheets/d/1XL5vhW3sbDhbH9Cz0tuDiY8C3ctxq1tqvaCgkFb8cCA/edit?usp=sharing"",""สุรินทร์!J468"")"),5577)</f>
        <v>5577</v>
      </c>
      <c r="K573" s="202">
        <f ca="1">IF(I573&gt;0,J573*100/I573,0)</f>
        <v>101.4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IFERROR(__xludf.DUMMYFUNCTION("IMPORTRANGE(""https://docs.google.com/spreadsheets/d/1XL5vhW3sbDhbH9Cz0tuDiY8C3ctxq1tqvaCgkFb8cCA/edit?usp=sharing"",""สุรินทร์!J471"")"),1102)</f>
        <v>1102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IFERROR(__xludf.DUMMYFUNCTION("IMPORTRANGE(""https://docs.google.com/spreadsheets/d/1XL5vhW3sbDhbH9Cz0tuDiY8C3ctxq1tqvaCgkFb8cCA/edit?usp=sharing"",""สุรินทร์!J472"")"),4475)</f>
        <v>4475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IFERROR(__xludf.DUMMYFUNCTION("IMPORTRANGE(""https://docs.google.com/spreadsheets/d/1XL5vhW3sbDhbH9Cz0tuDiY8C3ctxq1tqvaCgkFb8cCA/edit?usp=sharing"",""สุรินทร์!J475"")"),3)</f>
        <v>3</v>
      </c>
      <c r="K580" s="372">
        <f ca="1">IF(I580&gt;0,J580*100/I580,0)</f>
        <v>3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IFERROR(__xludf.DUMMYFUNCTION("IMPORTRANGE(""https://docs.google.com/spreadsheets/d/1XL5vhW3sbDhbH9Cz0tuDiY8C3ctxq1tqvaCgkFb8cCA/edit?usp=sharing"",""สุรินทร์!M475"")"),123445)</f>
        <v>123445</v>
      </c>
      <c r="O580" s="373">
        <f t="shared" ref="O580:O584" ca="1" si="124">+IF(L580&gt;0,N580*100/L580,0)</f>
        <v>38.384639303482587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IFERROR(__xludf.DUMMYFUNCTION("IMPORTRANGE(""https://docs.google.com/spreadsheets/d/1XL5vhW3sbDhbH9Cz0tuDiY8C3ctxq1tqvaCgkFb8cCA/edit?usp=sharing"",""สุรินทร์!M477"")"),123445)</f>
        <v>123445</v>
      </c>
      <c r="O582" s="169">
        <f t="shared" ca="1" si="124"/>
        <v>38.384639303482587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IFERROR(__xludf.DUMMYFUNCTION("IMPORTRANGE(""https://docs.google.com/spreadsheets/d/1XL5vhW3sbDhbH9Cz0tuDiY8C3ctxq1tqvaCgkFb8cCA/edit?usp=sharing"",""สุรินทร์!M479"")"),123445)</f>
        <v>123445</v>
      </c>
      <c r="O584" s="169">
        <f t="shared" ca="1" si="124"/>
        <v>38.384639303482587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IFERROR(__xludf.DUMMYFUNCTION("IMPORTRANGE(""https://docs.google.com/spreadsheets/d/1XL5vhW3sbDhbH9Cz0tuDiY8C3ctxq1tqvaCgkFb8cCA/edit?usp=sharing"",""สุรินทร์!M482"")"),75935)</f>
        <v>75935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IFERROR(__xludf.DUMMYFUNCTION("IMPORTRANGE(""https://docs.google.com/spreadsheets/d/1XL5vhW3sbDhbH9Cz0tuDiY8C3ctxq1tqvaCgkFb8cCA/edit?usp=sharing"",""สุรินทร์!M483"")"),47510)</f>
        <v>47510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IFERROR(__xludf.DUMMYFUNCTION("IMPORTRANGE(""https://docs.google.com/spreadsheets/d/1XL5vhW3sbDhbH9Cz0tuDiY8C3ctxq1tqvaCgkFb8cCA/edit?usp=sharing"",""สุรินทร์!J484"")"),40)</f>
        <v>40</v>
      </c>
      <c r="K589" s="163">
        <f t="shared" ref="K589:K596" ca="1" si="125">IF(I589&gt;0,J589*100/I589,0)</f>
        <v>40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IFERROR(__xludf.DUMMYFUNCTION("IMPORTRANGE(""https://docs.google.com/spreadsheets/d/1XL5vhW3sbDhbH9Cz0tuDiY8C3ctxq1tqvaCgkFb8cCA/edit?usp=sharing"",""สุรินทร์!J485"")"),41.53)</f>
        <v>41.53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IFERROR(__xludf.DUMMYFUNCTION("IMPORTRANGE(""https://docs.google.com/spreadsheets/d/1XL5vhW3sbDhbH9Cz0tuDiY8C3ctxq1tqvaCgkFb8cCA/edit?usp=sharing"",""สุรินทร์!J486"")"),1)</f>
        <v>1</v>
      </c>
      <c r="K591" s="163">
        <f t="shared" ca="1" si="125"/>
        <v>1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IFERROR(__xludf.DUMMYFUNCTION("IMPORTRANGE(""https://docs.google.com/spreadsheets/d/1XL5vhW3sbDhbH9Cz0tuDiY8C3ctxq1tqvaCgkFb8cCA/edit?usp=sharing"",""สุรินทร์!J487"")"),0.35)</f>
        <v>0.35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IFERROR(__xludf.DUMMYFUNCTION("IMPORTRANGE(""https://docs.google.com/spreadsheets/d/1XL5vhW3sbDhbH9Cz0tuDiY8C3ctxq1tqvaCgkFb8cCA/edit?usp=sharing"",""สุรินทร์!J488"")"),1)</f>
        <v>1</v>
      </c>
      <c r="K593" s="163">
        <f t="shared" ca="1" si="125"/>
        <v>1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IFERROR(__xludf.DUMMYFUNCTION("IMPORTRANGE(""https://docs.google.com/spreadsheets/d/1XL5vhW3sbDhbH9Cz0tuDiY8C3ctxq1tqvaCgkFb8cCA/edit?usp=sharing"",""สุรินทร์!J489"")"),0.35)</f>
        <v>0.35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IFERROR(__xludf.DUMMYFUNCTION("IMPORTRANGE(""https://docs.google.com/spreadsheets/d/1XL5vhW3sbDhbH9Cz0tuDiY8C3ctxq1tqvaCgkFb8cCA/edit?usp=sharing"",""สุรินทร์!J490"")"),3)</f>
        <v>3</v>
      </c>
      <c r="K595" s="163">
        <f t="shared" ca="1" si="125"/>
        <v>3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IFERROR(__xludf.DUMMYFUNCTION("IMPORTRANGE(""https://docs.google.com/spreadsheets/d/1XL5vhW3sbDhbH9Cz0tuDiY8C3ctxq1tqvaCgkFb8cCA/edit?usp=sharing"",""สุรินทร์!I491"")"),0)</f>
        <v>0</v>
      </c>
      <c r="J596" s="241">
        <f ca="1">IFERROR(__xludf.DUMMYFUNCTION("IMPORTRANGE(""https://docs.google.com/spreadsheets/d/1XL5vhW3sbDhbH9Cz0tuDiY8C3ctxq1tqvaCgkFb8cCA/edit?usp=sharing"",""สุรินทร์!J491"")"),6.12)</f>
        <v>6.12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7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IFERROR(__xludf.DUMMYFUNCTION("IMPORTRANGE(""https://docs.google.com/spreadsheets/d/1XL5vhW3sbDhbH9Cz0tuDiY8C3ctxq1tqvaCgkFb8cCA/edit?usp=sharing"",""สุรินทร์!M492"")"),9415)</f>
        <v>9415</v>
      </c>
      <c r="O597" s="412">
        <f t="shared" ref="O597:O601" ca="1" si="126">+IF(L597&gt;0,N597*100/L597,0)</f>
        <v>43.587962962962962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IFERROR(__xludf.DUMMYFUNCTION("IMPORTRANGE(""https://docs.google.com/spreadsheets/d/1XL5vhW3sbDhbH9Cz0tuDiY8C3ctxq1tqvaCgkFb8cCA/edit?usp=sharing"",""สุรินทร์!M494"")"),9415)</f>
        <v>9415</v>
      </c>
      <c r="O599" s="169">
        <f t="shared" ca="1" si="126"/>
        <v>43.587962962962962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IFERROR(__xludf.DUMMYFUNCTION("IMPORTRANGE(""https://docs.google.com/spreadsheets/d/1XL5vhW3sbDhbH9Cz0tuDiY8C3ctxq1tqvaCgkFb8cCA/edit?usp=sharing"",""สุรินทร์!M496"")"),9415)</f>
        <v>9415</v>
      </c>
      <c r="O601" s="169">
        <f t="shared" ca="1" si="126"/>
        <v>43.587962962962962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IFERROR(__xludf.DUMMYFUNCTION("IMPORTRANGE(""https://docs.google.com/spreadsheets/d/1XL5vhW3sbDhbH9Cz0tuDiY8C3ctxq1tqvaCgkFb8cCA/edit?usp=sharing"",""สุรินทร์!M500"")"),9415)</f>
        <v>9415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IFERROR(__xludf.DUMMYFUNCTION("IMPORTRANGE(""https://docs.google.com/spreadsheets/d/1XL5vhW3sbDhbH9Cz0tuDiY8C3ctxq1tqvaCgkFb8cCA/edit?usp=sharing"",""สุรินทร์!J166"")"),0)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IFERROR(__xludf.DUMMYFUNCTION("IMPORTRANGE(""https://docs.google.com/spreadsheets/d/1XL5vhW3sbDhbH9Cz0tuDiY8C3ctxq1tqvaCgkFb8cCA/edit?usp=sharing"",""สุรินทร์!J166"")"),0)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IFERROR(__xludf.DUMMYFUNCTION("IMPORTRANGE(""https://docs.google.com/spreadsheets/d/1XL5vhW3sbDhbH9Cz0tuDiY8C3ctxq1tqvaCgkFb8cCA/edit?usp=sharing"",""สุรินทร์!J507"")"),129)</f>
        <v>129</v>
      </c>
      <c r="K612" s="163">
        <f t="shared" ca="1" si="127"/>
        <v>64.5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IFERROR(__xludf.DUMMYFUNCTION("IMPORTRANGE(""https://docs.google.com/spreadsheets/d/1XL5vhW3sbDhbH9Cz0tuDiY8C3ctxq1tqvaCgkFb8cCA/edit?usp=sharing"",""สุรินทร์!J508"")"),129)</f>
        <v>129</v>
      </c>
      <c r="K613" s="163">
        <f t="shared" ca="1" si="127"/>
        <v>64.5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IFERROR(__xludf.DUMMYFUNCTION("IMPORTRANGE(""https://docs.google.com/spreadsheets/d/1XL5vhW3sbDhbH9Cz0tuDiY8C3ctxq1tqvaCgkFb8cCA/edit?usp=sharing"",""สุรินทร์!J509"")"),129)</f>
        <v>129</v>
      </c>
      <c r="K614" s="163">
        <f t="shared" ca="1" si="127"/>
        <v>64.5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IFERROR(__xludf.DUMMYFUNCTION("IMPORTRANGE(""https://docs.google.com/spreadsheets/d/1XL5vhW3sbDhbH9Cz0tuDiY8C3ctxq1tqvaCgkFb8cCA/edit?usp=sharing"",""สุรินทร์!J510"")"),129)</f>
        <v>129</v>
      </c>
      <c r="K615" s="163">
        <f t="shared" ca="1" si="127"/>
        <v>64.5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IFERROR(__xludf.DUMMYFUNCTION("IMPORTRANGE(""https://docs.google.com/spreadsheets/d/1XL5vhW3sbDhbH9Cz0tuDiY8C3ctxq1tqvaCgkFb8cCA/edit?usp=sharing"",""สุรินทร์!J511"")"),129)</f>
        <v>129</v>
      </c>
      <c r="K616" s="163">
        <f t="shared" ca="1" si="127"/>
        <v>64.5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1">
        <f ca="1">IFERROR(__xludf.DUMMYFUNCTION("IMPORTRANGE(""https://docs.google.com/spreadsheets/d/1XL5vhW3sbDhbH9Cz0tuDiY8C3ctxq1tqvaCgkFb8cCA/edit?usp=sharing"",""สุรินทร์!J523"")"),3488039.58)</f>
        <v>3488039.58</v>
      </c>
      <c r="K628" s="342">
        <f t="shared" ref="K628:K635" ca="1" si="129">IF(I628&gt;0,J628*100/I628,0)</f>
        <v>61.794966803918555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IFERROR(__xludf.DUMMYFUNCTION("IMPORTRANGE(""https://docs.google.com/spreadsheets/d/1XL5vhW3sbDhbH9Cz0tuDiY8C3ctxq1tqvaCgkFb8cCA/edit?usp=sharing"",""สุรินทร์!I524"")"),315)</f>
        <v>315</v>
      </c>
      <c r="J629" s="341">
        <f ca="1">IFERROR(__xludf.DUMMYFUNCTION("IMPORTRANGE(""https://docs.google.com/spreadsheets/d/1XL5vhW3sbDhbH9Cz0tuDiY8C3ctxq1tqvaCgkFb8cCA/edit?usp=sharing"",""สุรินทร์!J524"")"),187)</f>
        <v>187</v>
      </c>
      <c r="K629" s="342">
        <f t="shared" ca="1" si="129"/>
        <v>59.365079365079367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1">
        <f ca="1">IFERROR(__xludf.DUMMYFUNCTION("IMPORTRANGE(""https://docs.google.com/spreadsheets/d/1XL5vhW3sbDhbH9Cz0tuDiY8C3ctxq1tqvaCgkFb8cCA/edit?usp=sharing"",""สุรินทร์!J525"")"),545459.3)</f>
        <v>545459.30000000005</v>
      </c>
      <c r="K630" s="342">
        <f t="shared" ca="1" si="129"/>
        <v>8.1581383365863349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IFERROR(__xludf.DUMMYFUNCTION("IMPORTRANGE(""https://docs.google.com/spreadsheets/d/1XL5vhW3sbDhbH9Cz0tuDiY8C3ctxq1tqvaCgkFb8cCA/edit?usp=sharing"",""สุรินทร์!I526"")"),420)</f>
        <v>420</v>
      </c>
      <c r="J631" s="341">
        <f ca="1">IFERROR(__xludf.DUMMYFUNCTION("IMPORTRANGE(""https://docs.google.com/spreadsheets/d/1XL5vhW3sbDhbH9Cz0tuDiY8C3ctxq1tqvaCgkFb8cCA/edit?usp=sharing"",""สุรินทร์!J526"")"),164)</f>
        <v>164</v>
      </c>
      <c r="K631" s="342">
        <f t="shared" ca="1" si="129"/>
        <v>39.047619047619051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IFERROR(__xludf.DUMMYFUNCTION("IMPORTRANGE(""https://docs.google.com/spreadsheets/d/1XL5vhW3sbDhbH9Cz0tuDiY8C3ctxq1tqvaCgkFb8cCA/edit?usp=sharing"",""สุรินทร์!I527"")"),0)</f>
        <v>0</v>
      </c>
      <c r="J632" s="341">
        <f ca="1">IFERROR(__xludf.DUMMYFUNCTION("IMPORTRANGE(""https://docs.google.com/spreadsheets/d/1XL5vhW3sbDhbH9Cz0tuDiY8C3ctxq1tqvaCgkFb8cCA/edit?usp=sharing"",""สุรินทร์!J527"")"),195799.13)</f>
        <v>195799.13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IFERROR(__xludf.DUMMYFUNCTION("IMPORTRANGE(""https://docs.google.com/spreadsheets/d/1XL5vhW3sbDhbH9Cz0tuDiY8C3ctxq1tqvaCgkFb8cCA/edit?usp=sharing"",""สุรินทร์!I528"")"),0)</f>
        <v>0</v>
      </c>
      <c r="J633" s="341">
        <f ca="1">IFERROR(__xludf.DUMMYFUNCTION("IMPORTRANGE(""https://docs.google.com/spreadsheets/d/1XL5vhW3sbDhbH9Cz0tuDiY8C3ctxq1tqvaCgkFb8cCA/edit?usp=sharing"",""สุรินทร์!J528"")"),15)</f>
        <v>15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IFERROR(__xludf.DUMMYFUNCTION("IMPORTRANGE(""https://docs.google.com/spreadsheets/d/1XL5vhW3sbDhbH9Cz0tuDiY8C3ctxq1tqvaCgkFb8cCA/edit?usp=sharing"",""สุรินทร์!I529"")"),6000000)</f>
        <v>6000000</v>
      </c>
      <c r="J634" s="341">
        <f ca="1">IFERROR(__xludf.DUMMYFUNCTION("IMPORTRANGE(""https://docs.google.com/spreadsheets/d/1XL5vhW3sbDhbH9Cz0tuDiY8C3ctxq1tqvaCgkFb8cCA/edit?usp=sharing"",""สุรินทร์!J529"")"),1700000)</f>
        <v>1700000</v>
      </c>
      <c r="K634" s="342">
        <f t="shared" ca="1" si="129"/>
        <v>28.333333333333332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IFERROR(__xludf.DUMMYFUNCTION("IMPORTRANGE(""https://docs.google.com/spreadsheets/d/1XL5vhW3sbDhbH9Cz0tuDiY8C3ctxq1tqvaCgkFb8cCA/edit?usp=sharing"",""สุรินทร์!I530"")"),310)</f>
        <v>310</v>
      </c>
      <c r="J635" s="504">
        <f ca="1">IFERROR(__xludf.DUMMYFUNCTION("IMPORTRANGE(""https://docs.google.com/spreadsheets/d/1XL5vhW3sbDhbH9Cz0tuDiY8C3ctxq1tqvaCgkFb8cCA/edit?usp=sharing"",""สุรินทร์!J530"")"),79)</f>
        <v>79</v>
      </c>
      <c r="K635" s="486">
        <f t="shared" ca="1" si="129"/>
        <v>25.483870967741936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IFERROR(__xludf.DUMMYFUNCTION("IMPORTRANGE(""https://docs.google.com/spreadsheets/d/1XL5vhW3sbDhbH9Cz0tuDiY8C3ctxq1tqvaCgkFb8cCA/edit#gid=346597447"",""สุรินทร์!J541"")"),0)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IFERROR(__xludf.DUMMYFUNCTION("IMPORTRANGE(""https://docs.google.com/spreadsheets/d/1XL5vhW3sbDhbH9Cz0tuDiY8C3ctxq1tqvaCgkFb8cCA/edit#gid=346597447"",""สุรินทร์!J542"")"),0)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IFERROR(__xludf.DUMMYFUNCTION("IMPORTRANGE(""https://docs.google.com/spreadsheets/d/1XL5vhW3sbDhbH9Cz0tuDiY8C3ctxq1tqvaCgkFb8cCA/edit#gid=346597447"",""สุรินทร์!I543"")"),0)</f>
        <v>0</v>
      </c>
      <c r="J648" s="585">
        <f ca="1">IFERROR(__xludf.DUMMYFUNCTION("IMPORTRANGE(""https://docs.google.com/spreadsheets/d/1XL5vhW3sbDhbH9Cz0tuDiY8C3ctxq1tqvaCgkFb8cCA/edit#gid=346597447"",""สุรินทร์!J543"")"),0)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IFERROR(__xludf.DUMMYFUNCTION("IMPORTRANGE(""https://docs.google.com/spreadsheets/d/1XL5vhW3sbDhbH9Cz0tuDiY8C3ctxq1tqvaCgkFb8cCA/edit#gid=346597447"",""สุรินทร์!L543"")"),0)</f>
        <v>0</v>
      </c>
      <c r="M648" s="570"/>
      <c r="N648" s="587">
        <f ca="1">IFERROR(__xludf.DUMMYFUNCTION("IMPORTRANGE(""https://docs.google.com/spreadsheets/d/1XL5vhW3sbDhbH9Cz0tuDiY8C3ctxq1tqvaCgkFb8cCA/edit#gid=346597447"",""สุรินทร์!M543"")"),0)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IFERROR(__xludf.DUMMYFUNCTION("IMPORTRANGE(""https://docs.google.com/spreadsheets/d/1XL5vhW3sbDhbH9Cz0tuDiY8C3ctxq1tqvaCgkFb8cCA/edit#gid=346597447"",""สุรินทร์!I544"")"),0)</f>
        <v>0</v>
      </c>
      <c r="J649" s="585">
        <f ca="1">IFERROR(__xludf.DUMMYFUNCTION("IMPORTRANGE(""https://docs.google.com/spreadsheets/d/1XL5vhW3sbDhbH9Cz0tuDiY8C3ctxq1tqvaCgkFb8cCA/edit#gid=346597447"",""สุรินทร์!J544"")"),0)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IFERROR(__xludf.DUMMYFUNCTION("IMPORTRANGE(""https://docs.google.com/spreadsheets/d/1XL5vhW3sbDhbH9Cz0tuDiY8C3ctxq1tqvaCgkFb8cCA/edit#gid=346597447"",""สุรินทร์!L544"")"),0)</f>
        <v>0</v>
      </c>
      <c r="M649" s="570"/>
      <c r="N649" s="587">
        <f ca="1">IFERROR(__xludf.DUMMYFUNCTION("IMPORTRANGE(""https://docs.google.com/spreadsheets/d/1XL5vhW3sbDhbH9Cz0tuDiY8C3ctxq1tqvaCgkFb8cCA/edit#gid=346597447"",""สุรินทร์!M544"")"),0)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IFERROR(__xludf.DUMMYFUNCTION("IMPORTRANGE(""https://docs.google.com/spreadsheets/d/1XL5vhW3sbDhbH9Cz0tuDiY8C3ctxq1tqvaCgkFb8cCA/edit#gid=346597447"",""สุรินทร์!I545"")"),0)</f>
        <v>0</v>
      </c>
      <c r="J650" s="585">
        <f ca="1">IFERROR(__xludf.DUMMYFUNCTION("IMPORTRANGE(""https://docs.google.com/spreadsheets/d/1XL5vhW3sbDhbH9Cz0tuDiY8C3ctxq1tqvaCgkFb8cCA/edit#gid=346597447"",""สุรินทร์!J545"")"),0)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IFERROR(__xludf.DUMMYFUNCTION("IMPORTRANGE(""https://docs.google.com/spreadsheets/d/1XL5vhW3sbDhbH9Cz0tuDiY8C3ctxq1tqvaCgkFb8cCA/edit#gid=346597447"",""สุรินทร์!L545"")"),0)</f>
        <v>0</v>
      </c>
      <c r="M650" s="570"/>
      <c r="N650" s="587">
        <f ca="1">IFERROR(__xludf.DUMMYFUNCTION("IMPORTRANGE(""https://docs.google.com/spreadsheets/d/1XL5vhW3sbDhbH9Cz0tuDiY8C3ctxq1tqvaCgkFb8cCA/edit#gid=346597447"",""สุรินทร์!M545"")"),0)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IFERROR(__xludf.DUMMYFUNCTION("IMPORTRANGE(""https://docs.google.com/spreadsheets/d/1XL5vhW3sbDhbH9Cz0tuDiY8C3ctxq1tqvaCgkFb8cCA/edit#gid=346597447"",""สุรินทร์!I546"")"),0)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IFERROR(__xludf.DUMMYFUNCTION("IMPORTRANGE(""https://docs.google.com/spreadsheets/d/1XL5vhW3sbDhbH9Cz0tuDiY8C3ctxq1tqvaCgkFb8cCA/edit#gid=346597447"",""สุรินทร์!L546"")"),0)</f>
        <v>0</v>
      </c>
      <c r="M651" s="570"/>
      <c r="N651" s="587">
        <f ca="1">IFERROR(__xludf.DUMMYFUNCTION("IMPORTRANGE(""https://docs.google.com/spreadsheets/d/1XL5vhW3sbDhbH9Cz0tuDiY8C3ctxq1tqvaCgkFb8cCA/edit#gid=346597447"",""สุรินทร์!M546"")"),0)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IFERROR(__xludf.DUMMYFUNCTION("IMPORTRANGE(""https://docs.google.com/spreadsheets/d/1XL5vhW3sbDhbH9Cz0tuDiY8C3ctxq1tqvaCgkFb8cCA/edit#gid=346597447"",""สุรินทร์!J547"")"),0)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IFERROR(__xludf.DUMMYFUNCTION("IMPORTRANGE(""https://docs.google.com/spreadsheets/d/1XL5vhW3sbDhbH9Cz0tuDiY8C3ctxq1tqvaCgkFb8cCA/edit#gid=346597447"",""สุรินทร์!J548"")"),0)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IFERROR(__xludf.DUMMYFUNCTION("IMPORTRANGE(""https://docs.google.com/spreadsheets/d/1XL5vhW3sbDhbH9Cz0tuDiY8C3ctxq1tqvaCgkFb8cCA/edit#gid=346597447"",""สุรินทร์!J550"")"),0)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IFERROR(__xludf.DUMMYFUNCTION("IMPORTRANGE(""https://docs.google.com/spreadsheets/d/1XL5vhW3sbDhbH9Cz0tuDiY8C3ctxq1tqvaCgkFb8cCA/edit#gid=346597447"",""สุรินทร์!J551"")"),0)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IFERROR(__xludf.DUMMYFUNCTION("IMPORTRANGE(""https://docs.google.com/spreadsheets/d/1XL5vhW3sbDhbH9Cz0tuDiY8C3ctxq1tqvaCgkFb8cCA/edit#gid=346597447"",""สุรินทร์!J552"")"),0)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IFERROR(__xludf.DUMMYFUNCTION("IMPORTRANGE(""https://docs.google.com/spreadsheets/d/1XL5vhW3sbDhbH9Cz0tuDiY8C3ctxq1tqvaCgkFb8cCA/edit#gid=346597447"",""สุรินทร์!J553"")"),0)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IFERROR(__xludf.DUMMYFUNCTION("IMPORTRANGE(""https://docs.google.com/spreadsheets/d/1XL5vhW3sbDhbH9Cz0tuDiY8C3ctxq1tqvaCgkFb8cCA/edit#gid=346597447"",""สุรินทร์!J554"")"),0)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IFERROR(__xludf.DUMMYFUNCTION("IMPORTRANGE(""https://docs.google.com/spreadsheets/d/1XL5vhW3sbDhbH9Cz0tuDiY8C3ctxq1tqvaCgkFb8cCA/edit#gid=346597447"",""สุรินทร์!J555"")"),0)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IFERROR(__xludf.DUMMYFUNCTION("IMPORTRANGE(""https://docs.google.com/spreadsheets/d/1XL5vhW3sbDhbH9Cz0tuDiY8C3ctxq1tqvaCgkFb8cCA/edit#gid=346597447"",""สุรินทร์!J556"")"),0)</f>
        <v>0</v>
      </c>
      <c r="K661" s="586"/>
      <c r="L661" s="571">
        <f ca="1">IFERROR(__xludf.DUMMYFUNCTION("IMPORTRANGE(""https://docs.google.com/spreadsheets/d/1XL5vhW3sbDhbH9Cz0tuDiY8C3ctxq1tqvaCgkFb8cCA/edit#gid=346597447"",""สุรินทร์!L556"")"),0)</f>
        <v>0</v>
      </c>
      <c r="M661" s="570"/>
      <c r="N661" s="587">
        <f ca="1">IFERROR(__xludf.DUMMYFUNCTION("IMPORTRANGE(""https://docs.google.com/spreadsheets/d/1XL5vhW3sbDhbH9Cz0tuDiY8C3ctxq1tqvaCgkFb8cCA/edit#gid=346597447"",""สุรินทร์!M556"")"),0)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IFERROR(__xludf.DUMMYFUNCTION("IMPORTRANGE(""https://docs.google.com/spreadsheets/d/1XL5vhW3sbDhbH9Cz0tuDiY8C3ctxq1tqvaCgkFb8cCA/edit#gid=346597447"",""สุรินทร์!J557"")"),0)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IFERROR(__xludf.DUMMYFUNCTION("IMPORTRANGE(""https://docs.google.com/spreadsheets/d/1XL5vhW3sbDhbH9Cz0tuDiY8C3ctxq1tqvaCgkFb8cCA/edit#gid=346597447"",""สุรินทร์!I558"")"),0)</f>
        <v>0</v>
      </c>
      <c r="J663" s="585">
        <f ca="1">IFERROR(__xludf.DUMMYFUNCTION("IMPORTRANGE(""https://docs.google.com/spreadsheets/d/1XL5vhW3sbDhbH9Cz0tuDiY8C3ctxq1tqvaCgkFb8cCA/edit#gid=346597447"",""สุรินทร์!J558"")"),0)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IFERROR(__xludf.DUMMYFUNCTION("IMPORTRANGE(""https://docs.google.com/spreadsheets/d/1XL5vhW3sbDhbH9Cz0tuDiY8C3ctxq1tqvaCgkFb8cCA/edit#gid=346597447"",""สุรินทร์!I560"")"),0)</f>
        <v>0</v>
      </c>
      <c r="J665" s="585">
        <f ca="1">IFERROR(__xludf.DUMMYFUNCTION("IMPORTRANGE(""https://docs.google.com/spreadsheets/d/1XL5vhW3sbDhbH9Cz0tuDiY8C3ctxq1tqvaCgkFb8cCA/edit#gid=346597447"",""สุรินทร์!J560"")"),0)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IFERROR(__xludf.DUMMYFUNCTION("IMPORTRANGE(""https://docs.google.com/spreadsheets/d/1XL5vhW3sbDhbH9Cz0tuDiY8C3ctxq1tqvaCgkFb8cCA/edit#gid=346597447"",""สุรินทร์!L560"")"),0)</f>
        <v>0</v>
      </c>
      <c r="M665" s="570"/>
      <c r="N665" s="587">
        <f ca="1">IFERROR(__xludf.DUMMYFUNCTION("IMPORTRANGE(""https://docs.google.com/spreadsheets/d/1XL5vhW3sbDhbH9Cz0tuDiY8C3ctxq1tqvaCgkFb8cCA/edit#gid=346597447"",""สุรินทร์!M560"")"),0)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IFERROR(__xludf.DUMMYFUNCTION("IMPORTRANGE(""https://docs.google.com/spreadsheets/d/1XL5vhW3sbDhbH9Cz0tuDiY8C3ctxq1tqvaCgkFb8cCA/edit#gid=346597447"",""สุรินทร์!J561"")"),0)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IFERROR(__xludf.DUMMYFUNCTION("IMPORTRANGE(""https://docs.google.com/spreadsheets/d/1XL5vhW3sbDhbH9Cz0tuDiY8C3ctxq1tqvaCgkFb8cCA/edit#gid=346597447"",""สุรินทร์!J562"")"),0)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IFERROR(__xludf.DUMMYFUNCTION("IMPORTRANGE(""https://docs.google.com/spreadsheets/d/1XL5vhW3sbDhbH9Cz0tuDiY8C3ctxq1tqvaCgkFb8cCA/edit#gid=346597447"",""สุรินทร์!I563"")"),0)</f>
        <v>0</v>
      </c>
      <c r="J668" s="585">
        <f ca="1">IFERROR(__xludf.DUMMYFUNCTION("IMPORTRANGE(""https://docs.google.com/spreadsheets/d/1XL5vhW3sbDhbH9Cz0tuDiY8C3ctxq1tqvaCgkFb8cCA/edit#gid=346597447"",""สุรินทร์!J563"")"),0)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IFERROR(__xludf.DUMMYFUNCTION("IMPORTRANGE(""https://docs.google.com/spreadsheets/d/1XL5vhW3sbDhbH9Cz0tuDiY8C3ctxq1tqvaCgkFb8cCA/edit#gid=346597447"",""สุรินทร์!L563"")"),0)</f>
        <v>0</v>
      </c>
      <c r="M668" s="570"/>
      <c r="N668" s="587">
        <f ca="1">IFERROR(__xludf.DUMMYFUNCTION("IMPORTRANGE(""https://docs.google.com/spreadsheets/d/1XL5vhW3sbDhbH9Cz0tuDiY8C3ctxq1tqvaCgkFb8cCA/edit#gid=346597447"",""สุรินทร์!M563"")"),0)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IFERROR(__xludf.DUMMYFUNCTION("IMPORTRANGE(""https://docs.google.com/spreadsheets/d/1XL5vhW3sbDhbH9Cz0tuDiY8C3ctxq1tqvaCgkFb8cCA/edit#gid=346597447"",""สุรินทร์!J564"")"),0)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IFERROR(__xludf.DUMMYFUNCTION("IMPORTRANGE(""https://docs.google.com/spreadsheets/d/1XL5vhW3sbDhbH9Cz0tuDiY8C3ctxq1tqvaCgkFb8cCA/edit#gid=346597447"",""สุรินทร์!J565"")"),0)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IFERROR(__xludf.DUMMYFUNCTION("IMPORTRANGE(""https://docs.google.com/spreadsheets/d/1XL5vhW3sbDhbH9Cz0tuDiY8C3ctxq1tqvaCgkFb8cCA/edit#gid=346597447"",""สุรินทร์!I566"")"),0)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IFERROR(__xludf.DUMMYFUNCTION("IMPORTRANGE(""https://docs.google.com/spreadsheets/d/1XL5vhW3sbDhbH9Cz0tuDiY8C3ctxq1tqvaCgkFb8cCA/edit#gid=346597447"",""สุรินทร์!L566"")"),0)</f>
        <v>0</v>
      </c>
      <c r="M671" s="570"/>
      <c r="N671" s="587">
        <f ca="1">IFERROR(__xludf.DUMMYFUNCTION("IMPORTRANGE(""https://docs.google.com/spreadsheets/d/1XL5vhW3sbDhbH9Cz0tuDiY8C3ctxq1tqvaCgkFb8cCA/edit#gid=346597447"",""สุรินทร์!M566"")"),0)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IFERROR(__xludf.DUMMYFUNCTION("IMPORTRANGE(""https://docs.google.com/spreadsheets/d/1XL5vhW3sbDhbH9Cz0tuDiY8C3ctxq1tqvaCgkFb8cCA/edit#gid=346597447"",""สุรินทร์!J567"")"),0)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IFERROR(__xludf.DUMMYFUNCTION("IMPORTRANGE(""https://docs.google.com/spreadsheets/d/1XL5vhW3sbDhbH9Cz0tuDiY8C3ctxq1tqvaCgkFb8cCA/edit#gid=346597447"",""สุรินทร์!J568"")"),0)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IFERROR(__xludf.DUMMYFUNCTION("IMPORTRANGE(""https://docs.google.com/spreadsheets/d/1XL5vhW3sbDhbH9Cz0tuDiY8C3ctxq1tqvaCgkFb8cCA/edit#gid=346597447"",""สุรินทร์!J569"")"),0)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IFERROR(__xludf.DUMMYFUNCTION("IMPORTRANGE(""https://docs.google.com/spreadsheets/d/1XL5vhW3sbDhbH9Cz0tuDiY8C3ctxq1tqvaCgkFb8cCA/edit#gid=346597447"",""สุรินทร์!J570"")"),0)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IFERROR(__xludf.DUMMYFUNCTION("IMPORTRANGE(""https://docs.google.com/spreadsheets/d/1XL5vhW3sbDhbH9Cz0tuDiY8C3ctxq1tqvaCgkFb8cCA/edit#gid=346597447"",""สุรินทร์!J571"")"),0)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IFERROR(__xludf.DUMMYFUNCTION("IMPORTRANGE(""https://docs.google.com/spreadsheets/d/1XL5vhW3sbDhbH9Cz0tuDiY8C3ctxq1tqvaCgkFb8cCA/edit#gid=346597447"",""สุรินทร์!J572"")"),0)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A5" sqref="A5:G6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6.2851562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290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6731151</v>
      </c>
      <c r="M8" s="23">
        <f t="shared" ca="1" si="0"/>
        <v>3455169.84</v>
      </c>
      <c r="N8" s="23">
        <f t="shared" ca="1" si="0"/>
        <v>3739713.919999999</v>
      </c>
      <c r="O8" s="22">
        <f t="shared" ref="O8:O16" ca="1" si="1">IF(L8&gt;0,N8*100/L8,0)</f>
        <v>55.558312686790103</v>
      </c>
      <c r="P8" s="22">
        <f t="shared" ref="P8:P16" ca="1" si="2">IF(M8&gt;0,N8*100/M8,0)</f>
        <v>108.2353138391599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6731151</v>
      </c>
      <c r="M10" s="30">
        <f t="shared" ca="1" si="4"/>
        <v>3455169.84</v>
      </c>
      <c r="N10" s="30">
        <f t="shared" ca="1" si="4"/>
        <v>3739713.919999999</v>
      </c>
      <c r="O10" s="29">
        <f t="shared" ca="1" si="1"/>
        <v>55.558312686790103</v>
      </c>
      <c r="P10" s="29">
        <f t="shared" ca="1" si="2"/>
        <v>108.2353138391599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6264351</v>
      </c>
      <c r="M12" s="38">
        <f t="shared" ca="1" si="6"/>
        <v>2988369.84</v>
      </c>
      <c r="N12" s="38">
        <f t="shared" ca="1" si="6"/>
        <v>3272913.919999999</v>
      </c>
      <c r="O12" s="38">
        <f t="shared" ca="1" si="1"/>
        <v>52.246656038271148</v>
      </c>
      <c r="P12" s="38">
        <f t="shared" ca="1" si="2"/>
        <v>109.52171569232539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4012951</v>
      </c>
      <c r="M14" s="38">
        <f t="shared" si="8"/>
        <v>0</v>
      </c>
      <c r="N14" s="38">
        <f t="shared" ca="1" si="8"/>
        <v>987479.799999999</v>
      </c>
      <c r="O14" s="38">
        <f t="shared" ca="1" si="1"/>
        <v>24.607322641118692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466800</v>
      </c>
      <c r="M16" s="38">
        <f t="shared" ca="1" si="10"/>
        <v>466800</v>
      </c>
      <c r="N16" s="38">
        <f t="shared" ca="1" si="10"/>
        <v>466800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4277095</v>
      </c>
      <c r="M18" s="23">
        <f t="shared" ca="1" si="11"/>
        <v>3455169.84</v>
      </c>
      <c r="N18" s="23">
        <f t="shared" ca="1" si="11"/>
        <v>2752234.12</v>
      </c>
      <c r="O18" s="22">
        <f t="shared" ref="O18:O20" ca="1" si="12">IF(L18&gt;0,N18*100/L18,0)</f>
        <v>64.348211110578561</v>
      </c>
      <c r="P18" s="22">
        <f t="shared" ref="P18:P26" ca="1" si="13">IF(M18&gt;0,N18*100/M18,0)</f>
        <v>79.655537859175112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4277095</v>
      </c>
      <c r="M20" s="30">
        <f t="shared" ca="1" si="15"/>
        <v>3455169.84</v>
      </c>
      <c r="N20" s="30">
        <f t="shared" ca="1" si="15"/>
        <v>2752234.12</v>
      </c>
      <c r="O20" s="29">
        <f t="shared" ca="1" si="12"/>
        <v>64.348211110578561</v>
      </c>
      <c r="P20" s="29">
        <f t="shared" ca="1" si="13"/>
        <v>79.655537859175112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3810295</v>
      </c>
      <c r="M22" s="41">
        <f t="shared" ca="1" si="18"/>
        <v>2988369.84</v>
      </c>
      <c r="N22" s="38">
        <f t="shared" ca="1" si="18"/>
        <v>2285434.12</v>
      </c>
      <c r="O22" s="38">
        <f t="shared" ca="1" si="17"/>
        <v>59.980503346853723</v>
      </c>
      <c r="P22" s="38">
        <f t="shared" ca="1" si="13"/>
        <v>76.477619650986711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1558895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466800</v>
      </c>
      <c r="M26" s="49">
        <f t="shared" ca="1" si="22"/>
        <v>466800</v>
      </c>
      <c r="N26" s="49">
        <f t="shared" ca="1" si="22"/>
        <v>466800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2454056</v>
      </c>
      <c r="M28" s="23">
        <f t="shared" si="23"/>
        <v>0</v>
      </c>
      <c r="N28" s="23">
        <f t="shared" ca="1" si="23"/>
        <v>987479.799999999</v>
      </c>
      <c r="O28" s="22">
        <f t="shared" ref="O28:O30" ca="1" si="24">IF(L28&gt;0,N28*100/L28,0)</f>
        <v>40.238682409855315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2454056</v>
      </c>
      <c r="M30" s="30">
        <f t="shared" si="27"/>
        <v>0</v>
      </c>
      <c r="N30" s="30">
        <f t="shared" ca="1" si="27"/>
        <v>987479.799999999</v>
      </c>
      <c r="O30" s="29">
        <f t="shared" ca="1" si="24"/>
        <v>40.238682409855315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2454056</v>
      </c>
      <c r="M32" s="38">
        <f t="shared" si="30"/>
        <v>0</v>
      </c>
      <c r="N32" s="38">
        <f t="shared" ca="1" si="30"/>
        <v>987479.799999999</v>
      </c>
      <c r="O32" s="38">
        <f t="shared" ca="1" si="29"/>
        <v>40.238682409855315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2454056</v>
      </c>
      <c r="M34" s="38">
        <f t="shared" si="32"/>
        <v>0</v>
      </c>
      <c r="N34" s="38">
        <f t="shared" ca="1" si="32"/>
        <v>987479.799999999</v>
      </c>
      <c r="O34" s="38">
        <f t="shared" ca="1" si="29"/>
        <v>40.238682409855315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4277095</v>
      </c>
      <c r="M37" s="54">
        <f t="shared" ca="1" si="33"/>
        <v>3455169.84</v>
      </c>
      <c r="N37" s="54">
        <f t="shared" ca="1" si="33"/>
        <v>2752234.12</v>
      </c>
      <c r="O37" s="55">
        <f t="shared" ca="1" si="29"/>
        <v>64.348211110578561</v>
      </c>
      <c r="P37" s="55">
        <f t="shared" ca="1" si="25"/>
        <v>79.655537859175112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937100</v>
      </c>
      <c r="M41" s="78">
        <f t="shared" ca="1" si="34"/>
        <v>726800</v>
      </c>
      <c r="N41" s="78">
        <f t="shared" ca="1" si="34"/>
        <v>522037.76000000001</v>
      </c>
      <c r="O41" s="77">
        <f t="shared" ref="O41:O43" ca="1" si="35">IF(L41&gt;0,N41*100/L41,0)</f>
        <v>55.707796393127737</v>
      </c>
      <c r="P41" s="77">
        <f t="shared" ref="P41:P43" ca="1" si="36">IF(M41&gt;0,N41*100/M41,0)</f>
        <v>71.826879471656582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937100</v>
      </c>
      <c r="M43" s="78">
        <f t="shared" ca="1" si="38"/>
        <v>726800</v>
      </c>
      <c r="N43" s="78">
        <f t="shared" ca="1" si="38"/>
        <v>522037.76000000001</v>
      </c>
      <c r="O43" s="77">
        <f t="shared" ca="1" si="35"/>
        <v>55.707796393127737</v>
      </c>
      <c r="P43" s="77">
        <f t="shared" ca="1" si="36"/>
        <v>71.826879471656582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841100</v>
      </c>
      <c r="M45" s="622">
        <f ca="1">IFERROR(__xludf.DUMMYFUNCTION("IMPORTRANGE(""https://docs.google.com/spreadsheets/d/1Yj_ptqi66GCucihVvJfMjLAmec39IyEx_6qawtMGysU/edit?usp=sharing"",""สบก!Q53"")"),630800)</f>
        <v>630800</v>
      </c>
      <c r="N45" s="622">
        <f ca="1">IFERROR(__xludf.DUMMYFUNCTION("IMPORTRANGE(""https://docs.google.com/spreadsheets/d/1Yj_ptqi66GCucihVvJfMjLAmec39IyEx_6qawtMGysU/edit?usp=sharing"",""สบก!R53"")"),426037.76)</f>
        <v>426037.76000000001</v>
      </c>
      <c r="O45" s="623">
        <f ca="1">IF(L45&gt;0,N45*100/L45,0)</f>
        <v>50.652450362620378</v>
      </c>
      <c r="P45" s="623">
        <f ca="1">IF(M45&gt;0,N45*100/M45,0)</f>
        <v>67.539277108433737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IFERROR(__xludf.DUMMYFUNCTION("IMPORTRANGE(""https://docs.google.com/spreadsheets/d/1Yj_ptqi66GCucihVvJfMjLAmec39IyEx_6qawtMGysU/edit?usp=sharing"",""สบก!M53"")"),841100)</f>
        <v>841100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IFERROR(__xludf.DUMMYFUNCTION("IMPORTRANGE(""https://docs.google.com/spreadsheets/d/1Yj_ptqi66GCucihVvJfMjLAmec39IyEx_6qawtMGysU/edit?usp=sharing"",""สบก!N53"")"),0)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IFERROR(__xludf.DUMMYFUNCTION("IMPORTRANGE(""https://docs.google.com/spreadsheets/d/1Yj_ptqi66GCucihVvJfMjLAmec39IyEx_6qawtMGysU/edit?usp=sharing"",""สบก!O53"")"),96000)</f>
        <v>96000</v>
      </c>
      <c r="M49" s="625">
        <f ca="1">L49</f>
        <v>96000</v>
      </c>
      <c r="N49" s="622">
        <f ca="1">IFERROR(__xludf.DUMMYFUNCTION("IMPORTRANGE(""https://docs.google.com/spreadsheets/d/1Yj_ptqi66GCucihVvJfMjLAmec39IyEx_6qawtMGysU/edit?usp=sharing"",""สบก!S53"")"),96000)</f>
        <v>96000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676800</v>
      </c>
      <c r="M53" s="121">
        <f t="shared" ca="1" si="39"/>
        <v>535544.84</v>
      </c>
      <c r="N53" s="121">
        <f t="shared" ca="1" si="39"/>
        <v>468692</v>
      </c>
      <c r="O53" s="120">
        <f t="shared" ref="O53:O55" ca="1" si="40">IF(L53&gt;0,N53*100/L53,0)</f>
        <v>69.251182033096924</v>
      </c>
      <c r="P53" s="120">
        <f t="shared" ref="P53:P55" ca="1" si="41">IF(M53&gt;0,N53*100/M53,0)</f>
        <v>87.516854797816748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676800</v>
      </c>
      <c r="M55" s="121">
        <f t="shared" ca="1" si="43"/>
        <v>535544.84</v>
      </c>
      <c r="N55" s="121">
        <f t="shared" ca="1" si="43"/>
        <v>468692</v>
      </c>
      <c r="O55" s="120">
        <f t="shared" ca="1" si="40"/>
        <v>69.251182033096924</v>
      </c>
      <c r="P55" s="120">
        <f t="shared" ca="1" si="41"/>
        <v>87.516854797816748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676800</v>
      </c>
      <c r="M57" s="622">
        <f ca="1">IFERROR(__xludf.DUMMYFUNCTION("IMPORTRANGE(""https://docs.google.com/spreadsheets/d/1Yj_ptqi66GCucihVvJfMjLAmec39IyEx_6qawtMGysU/edit?usp=sharing"",""สบก!Z53"")"),535544.84)</f>
        <v>535544.84</v>
      </c>
      <c r="N57" s="622">
        <f ca="1">IFERROR(__xludf.DUMMYFUNCTION("IMPORTRANGE(""https://docs.google.com/spreadsheets/d/1Yj_ptqi66GCucihVvJfMjLAmec39IyEx_6qawtMGysU/edit?usp=sharing"",""สบก!AA53"")"),468692)</f>
        <v>468692</v>
      </c>
      <c r="O57" s="623">
        <f ca="1">IF(L57&gt;0,N57*100/L57,0)</f>
        <v>69.251182033096924</v>
      </c>
      <c r="P57" s="623">
        <f ca="1">IF(M57&gt;0,N57*100/M57,0)</f>
        <v>87.516854797816748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IFERROR(__xludf.DUMMYFUNCTION("IMPORTRANGE(""https://docs.google.com/spreadsheets/d/1Yj_ptqi66GCucihVvJfMjLAmec39IyEx_6qawtMGysU/edit?usp=sharing"",""สบก!V53"")"),676800)</f>
        <v>676800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IFERROR(__xludf.DUMMYFUNCTION("IMPORTRANGE(""https://docs.google.com/spreadsheets/d/1Yj_ptqi66GCucihVvJfMjLAmec39IyEx_6qawtMGysU/edit?usp=sharing"",""สบก!W53"")"),0)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IFERROR(__xludf.DUMMYFUNCTION("IMPORTRANGE(""https://docs.google.com/spreadsheets/d/1Yj_ptqi66GCucihVvJfMjLAmec39IyEx_6qawtMGysU/edit?usp=sharing"",""สบก!X53"")"),0)</f>
        <v>0</v>
      </c>
      <c r="M61" s="625"/>
      <c r="N61" s="622">
        <f ca="1">IFERROR(__xludf.DUMMYFUNCTION("IMPORTRANGE(""https://docs.google.com/spreadsheets/d/1Yj_ptqi66GCucihVvJfMjLAmec39IyEx_6qawtMGysU/edit?usp=sharing"",""สบก!AB53"")"),0)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874700</v>
      </c>
      <c r="M66" s="152">
        <f t="shared" ca="1" si="45"/>
        <v>723320</v>
      </c>
      <c r="N66" s="152">
        <f t="shared" ca="1" si="45"/>
        <v>546262.06999999995</v>
      </c>
      <c r="O66" s="151">
        <f t="shared" ref="O66:O68" ca="1" si="46">IF(L66&gt;0,N66*100/L66,0)</f>
        <v>62.451362752943858</v>
      </c>
      <c r="P66" s="151">
        <f t="shared" ref="P66:P68" ca="1" si="47">IF(M66&gt;0,N66*100/M66,0)</f>
        <v>75.521493944588826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874700</v>
      </c>
      <c r="M68" s="157">
        <f t="shared" ca="1" si="49"/>
        <v>723320</v>
      </c>
      <c r="N68" s="157">
        <f t="shared" ca="1" si="49"/>
        <v>546262.06999999995</v>
      </c>
      <c r="O68" s="156">
        <f t="shared" ca="1" si="46"/>
        <v>62.451362752943858</v>
      </c>
      <c r="P68" s="156">
        <f t="shared" ca="1" si="47"/>
        <v>75.521493944588826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874700</v>
      </c>
      <c r="M70" s="626">
        <f ca="1">IFERROR(__xludf.DUMMYFUNCTION("IMPORTRANGE(""https://docs.google.com/spreadsheets/d/1Yj_ptqi66GCucihVvJfMjLAmec39IyEx_6qawtMGysU/edit?usp=sharing"",""สบก!AI53"")"),723320)</f>
        <v>723320</v>
      </c>
      <c r="N70" s="627">
        <f ca="1">IFERROR(__xludf.DUMMYFUNCTION("IMPORTRANGE(""https://docs.google.com/spreadsheets/d/1Yj_ptqi66GCucihVvJfMjLAmec39IyEx_6qawtMGysU/edit?usp=sharing"",""สบก!AJ53"")"),546262.07)</f>
        <v>546262.06999999995</v>
      </c>
      <c r="O70" s="169">
        <f ca="1">IF(L70&gt;0,N70*100/L70,0)</f>
        <v>62.451362752943858</v>
      </c>
      <c r="P70" s="169">
        <f ca="1">IF(M70&gt;0,N70*100/M70,0)</f>
        <v>75.521493944588826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IFERROR(__xludf.DUMMYFUNCTION("IMPORTRANGE(""https://docs.google.com/spreadsheets/d/1Yj_ptqi66GCucihVvJfMjLAmec39IyEx_6qawtMGysU/edit?usp=sharing"",""สบก!AF53"")"),558800)</f>
        <v>558800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IFERROR(__xludf.DUMMYFUNCTION("IMPORTRANGE(""https://docs.google.com/spreadsheets/d/1Yj_ptqi66GCucihVvJfMjLAmec39IyEx_6qawtMGysU/edit?usp=sharing"",""สบก!AG53"")"),0)</f>
        <v>0</v>
      </c>
      <c r="M74" s="625"/>
      <c r="N74" s="622">
        <f ca="1">IFERROR(__xludf.DUMMYFUNCTION("IMPORTRANGE(""https://docs.google.com/spreadsheets/d/1Yj_ptqi66GCucihVvJfMjLAmec39IyEx_6qawtMGysU/edit?usp=sharing"",""สบก!AK53"")"),0)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IFERROR(__xludf.DUMMYFUNCTION("IMPORTRANGE(""https://docs.google.com/spreadsheets/d/1XL5vhW3sbDhbH9Cz0tuDiY8C3ctxq1tqvaCgkFb8cCA/edit?usp=sharing"",""หนองคาย!I28"")"),0)</f>
        <v>0</v>
      </c>
      <c r="J88" s="204">
        <f ca="1">IFERROR(__xludf.DUMMYFUNCTION("IMPORTRANGE(""https://docs.google.com/spreadsheets/d/1XL5vhW3sbDhbH9Cz0tuDiY8C3ctxq1tqvaCgkFb8cCA/edit?usp=sharing"",""หนองคาย!J28"")"),0)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IFERROR(__xludf.DUMMYFUNCTION("IMPORTRANGE(""https://docs.google.com/spreadsheets/d/1XL5vhW3sbDhbH9Cz0tuDiY8C3ctxq1tqvaCgkFb8cCA/edit?usp=sharing"",""หนองคาย!J30"")"),0)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IFERROR(__xludf.DUMMYFUNCTION("IMPORTRANGE(""https://docs.google.com/spreadsheets/d/1XL5vhW3sbDhbH9Cz0tuDiY8C3ctxq1tqvaCgkFb8cCA/edit?usp=sharing"",""หนองคาย!J32"")"),40)</f>
        <v>40</v>
      </c>
      <c r="K92" s="143">
        <f t="shared" ref="K92:K93" ca="1" si="51">IF(I92&gt;0,J92*100/I92,0)</f>
        <v>571.42857142857144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319800</v>
      </c>
      <c r="M94" s="152">
        <f t="shared" ca="1" si="52"/>
        <v>298915</v>
      </c>
      <c r="N94" s="152">
        <f t="shared" ca="1" si="52"/>
        <v>278040</v>
      </c>
      <c r="O94" s="151">
        <f t="shared" ref="O94:O96" ca="1" si="53">IF(L94&gt;0,N94*100/L94,0)</f>
        <v>86.941838649155727</v>
      </c>
      <c r="P94" s="151">
        <f t="shared" ref="P94:P96" ca="1" si="54">IF(M94&gt;0,N94*100/M94,0)</f>
        <v>93.016409347138818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319800</v>
      </c>
      <c r="M96" s="157">
        <f t="shared" ca="1" si="56"/>
        <v>298915</v>
      </c>
      <c r="N96" s="157">
        <f t="shared" ca="1" si="56"/>
        <v>278040</v>
      </c>
      <c r="O96" s="156">
        <f t="shared" ca="1" si="53"/>
        <v>86.941838649155727</v>
      </c>
      <c r="P96" s="156">
        <f t="shared" ca="1" si="54"/>
        <v>93.016409347138818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135000</v>
      </c>
      <c r="M98" s="626">
        <f ca="1">IFERROR(__xludf.DUMMYFUNCTION("IMPORTRANGE(""https://docs.google.com/spreadsheets/d/1Yj_ptqi66GCucihVvJfMjLAmec39IyEx_6qawtMGysU/edit?usp=sharing"",""สบก!AR53"")"),114115)</f>
        <v>114115</v>
      </c>
      <c r="N98" s="627">
        <f ca="1">IFERROR(__xludf.DUMMYFUNCTION("IMPORTRANGE(""https://docs.google.com/spreadsheets/d/1Yj_ptqi66GCucihVvJfMjLAmec39IyEx_6qawtMGysU/edit?usp=sharing"",""สบก!AS53"")"),93240)</f>
        <v>93240</v>
      </c>
      <c r="O98" s="169">
        <f ca="1">IF(L98&gt;0,N98*100/L98,0)</f>
        <v>69.066666666666663</v>
      </c>
      <c r="P98" s="169">
        <f ca="1">IF(M98&gt;0,N98*100/M98,0)</f>
        <v>81.707049905796779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IFERROR(__xludf.DUMMYFUNCTION("IMPORTRANGE(""https://docs.google.com/spreadsheets/d/1Yj_ptqi66GCucihVvJfMjLAmec39IyEx_6qawtMGysU/edit?usp=sharing"",""สบก!AO53"")"),135000)</f>
        <v>135000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IFERROR(__xludf.DUMMYFUNCTION("IMPORTRANGE(""https://docs.google.com/spreadsheets/d/1Yj_ptqi66GCucihVvJfMjLAmec39IyEx_6qawtMGysU/edit?usp=sharing"",""สบก!AP53"")"),184800)</f>
        <v>184800</v>
      </c>
      <c r="M102" s="625">
        <f ca="1">L102</f>
        <v>184800</v>
      </c>
      <c r="N102" s="622">
        <f ca="1">IFERROR(__xludf.DUMMYFUNCTION("IMPORTRANGE(""https://docs.google.com/spreadsheets/d/1Yj_ptqi66GCucihVvJfMjLAmec39IyEx_6qawtMGysU/edit?usp=sharing"",""สบก!AT53"")"),184800)</f>
        <v>184800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IFERROR(__xludf.DUMMYFUNCTION("IMPORTRANGE(""https://docs.google.com/spreadsheets/d/1XL5vhW3sbDhbH9Cz0tuDiY8C3ctxq1tqvaCgkFb8cCA/edit?usp=sharing"",""หนองคาย!J44"")"),40)</f>
        <v>40</v>
      </c>
      <c r="K109" s="224">
        <f t="shared" ca="1" si="57"/>
        <v>571.42857142857144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4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IFERROR(__xludf.DUMMYFUNCTION("IMPORTRANGE(""https://docs.google.com/spreadsheets/d/1XL5vhW3sbDhbH9Cz0tuDiY8C3ctxq1tqvaCgkFb8cCA/edit?usp=sharing"",""หนองคาย!J46"")"),17)</f>
        <v>17</v>
      </c>
      <c r="K111" s="224">
        <f t="shared" ca="1" si="57"/>
        <v>242.85714285714286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4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IFERROR(__xludf.DUMMYFUNCTION("IMPORTRANGE(""https://docs.google.com/spreadsheets/d/1XL5vhW3sbDhbH9Cz0tuDiY8C3ctxq1tqvaCgkFb8cCA/edit?usp=sharing"",""หนองคาย!J50"")"),0)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25680</v>
      </c>
      <c r="O118" s="151">
        <f t="shared" ref="O118:O120" ca="1" si="59">IF(L118&gt;0,N118*100/L118,0)</f>
        <v>31.149927219796215</v>
      </c>
      <c r="P118" s="151">
        <f t="shared" ref="P118:P120" ca="1" si="60">IF(M118&gt;0,N118*100/M118,0)</f>
        <v>31.149927219796215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25680</v>
      </c>
      <c r="O120" s="156">
        <f t="shared" ca="1" si="59"/>
        <v>31.149927219796215</v>
      </c>
      <c r="P120" s="156">
        <f t="shared" ca="1" si="60"/>
        <v>31.149927219796215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IFERROR(__xludf.DUMMYFUNCTION("IMPORTRANGE(""https://docs.google.com/spreadsheets/d/1Yj_ptqi66GCucihVvJfMjLAmec39IyEx_6qawtMGysU/edit?usp=sharing"",""สบก!BA53"")"),82440)</f>
        <v>82440</v>
      </c>
      <c r="N122" s="627">
        <f ca="1">IFERROR(__xludf.DUMMYFUNCTION("IMPORTRANGE(""https://docs.google.com/spreadsheets/d/1Yj_ptqi66GCucihVvJfMjLAmec39IyEx_6qawtMGysU/edit?usp=sharing"",""สบก!BB53"")"),25680)</f>
        <v>25680</v>
      </c>
      <c r="O122" s="169">
        <f ca="1">IF(L122&gt;0,N122*100/L122,0)</f>
        <v>31.149927219796215</v>
      </c>
      <c r="P122" s="169">
        <f ca="1">IF(M122&gt;0,N122*100/M122,0)</f>
        <v>31.149927219796215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IFERROR(__xludf.DUMMYFUNCTION("IMPORTRANGE(""https://docs.google.com/spreadsheets/d/1Yj_ptqi66GCucihVvJfMjLAmec39IyEx_6qawtMGysU/edit?usp=sharing"",""สบก!AX53"")"),82440)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IFERROR(__xludf.DUMMYFUNCTION("IMPORTRANGE(""https://docs.google.com/spreadsheets/d/1Yj_ptqi66GCucihVvJfMjLAmec39IyEx_6qawtMGysU/edit?usp=sharing"",""สบก!AY53"")"),0)</f>
        <v>0</v>
      </c>
      <c r="M126" s="625"/>
      <c r="N126" s="622">
        <f ca="1">IFERROR(__xludf.DUMMYFUNCTION("IMPORTRANGE(""https://docs.google.com/spreadsheets/d/1Yj_ptqi66GCucihVvJfMjLAmec39IyEx_6qawtMGysU/edit?usp=sharing"",""สบก!BC53"")"),0)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291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IFERROR(__xludf.DUMMYFUNCTION("IMPORTRANGE(""https://docs.google.com/spreadsheets/d/1XL5vhW3sbDhbH9Cz0tuDiY8C3ctxq1tqvaCgkFb8cCA/edit?usp=sharing"",""หนองคาย!J65"")"),0)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IFERROR(__xludf.DUMMYFUNCTION("IMPORTRANGE(""https://docs.google.com/spreadsheets/d/1XL5vhW3sbDhbH9Cz0tuDiY8C3ctxq1tqvaCgkFb8cCA/edit?usp=sharing"",""หนองคาย!I68"")"),0)</f>
        <v>0</v>
      </c>
      <c r="J138" s="267">
        <f ca="1">IFERROR(__xludf.DUMMYFUNCTION("IMPORTRANGE(""https://docs.google.com/spreadsheets/d/1XL5vhW3sbDhbH9Cz0tuDiY8C3ctxq1tqvaCgkFb8cCA/edit?usp=sharing"",""หนองคาย!J68"")"),0)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62200</v>
      </c>
      <c r="O140" s="151">
        <f t="shared" ref="O140:O142" ca="1" si="65">IF(L140&gt;0,N140*100/L140,0)</f>
        <v>78.734177215189874</v>
      </c>
      <c r="P140" s="151">
        <f t="shared" ref="P140:P142" ca="1" si="66">IF(M140&gt;0,N140*100/M140,0)</f>
        <v>88.070796460176993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70625</v>
      </c>
      <c r="N142" s="157">
        <f t="shared" ca="1" si="68"/>
        <v>62200</v>
      </c>
      <c r="O142" s="156">
        <f t="shared" ca="1" si="65"/>
        <v>78.734177215189874</v>
      </c>
      <c r="P142" s="156">
        <f t="shared" ca="1" si="66"/>
        <v>88.070796460176993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626">
        <f ca="1">IFERROR(__xludf.DUMMYFUNCTION("IMPORTRANGE(""https://docs.google.com/spreadsheets/d/1Yj_ptqi66GCucihVvJfMjLAmec39IyEx_6qawtMGysU/edit?usp=sharing"",""สบก!BJ53"")"),70625)</f>
        <v>70625</v>
      </c>
      <c r="N144" s="627">
        <f ca="1">IFERROR(__xludf.DUMMYFUNCTION("IMPORTRANGE(""https://docs.google.com/spreadsheets/d/1Yj_ptqi66GCucihVvJfMjLAmec39IyEx_6qawtMGysU/edit?usp=sharing"",""สบก!BK53"")"),62200)</f>
        <v>62200</v>
      </c>
      <c r="O144" s="169">
        <f ca="1">IF(L144&gt;0,N144*100/L144,0)</f>
        <v>78.734177215189874</v>
      </c>
      <c r="P144" s="169">
        <f ca="1">IF(M144&gt;0,N144*100/M144,0)</f>
        <v>88.070796460176993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IFERROR(__xludf.DUMMYFUNCTION("IMPORTRANGE(""https://docs.google.com/spreadsheets/d/1Yj_ptqi66GCucihVvJfMjLAmec39IyEx_6qawtMGysU/edit?usp=sharing"",""สบก!BG53"")"),79000)</f>
        <v>79000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IFERROR(__xludf.DUMMYFUNCTION("IMPORTRANGE(""https://docs.google.com/spreadsheets/d/1Yj_ptqi66GCucihVvJfMjLAmec39IyEx_6qawtMGysU/edit?usp=sharing"",""สบก!BH53"")"),0)</f>
        <v>0</v>
      </c>
      <c r="M148" s="625"/>
      <c r="N148" s="622">
        <f ca="1">IFERROR(__xludf.DUMMYFUNCTION("IMPORTRANGE(""https://docs.google.com/spreadsheets/d/1Yj_ptqi66GCucihVvJfMjLAmec39IyEx_6qawtMGysU/edit?usp=sharing"",""สบก!BL53"")"),0)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IFERROR(__xludf.DUMMYFUNCTION("IMPORTRANGE(""https://docs.google.com/spreadsheets/d/1XL5vhW3sbDhbH9Cz0tuDiY8C3ctxq1tqvaCgkFb8cCA/edit?usp=sharing"",""หนองคาย!I74"")"),4)</f>
        <v>4</v>
      </c>
      <c r="J149" s="275">
        <f ca="1">IFERROR(__xludf.DUMMYFUNCTION("IMPORTRANGE(""https://docs.google.com/spreadsheets/d/1XL5vhW3sbDhbH9Cz0tuDiY8C3ctxq1tqvaCgkFb8cCA/edit?usp=sharing"",""หนองคาย!J74"")"),2)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IFERROR(__xludf.DUMMYFUNCTION("IMPORTRANGE(""https://docs.google.com/spreadsheets/d/1XL5vhW3sbDhbH9Cz0tuDiY8C3ctxq1tqvaCgkFb8cCA/edit?usp=sharing"",""หนองคาย!J85"")"),0)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IFERROR(__xludf.DUMMYFUNCTION("IMPORTRANGE(""https://docs.google.com/spreadsheets/d/1XL5vhW3sbDhbH9Cz0tuDiY8C3ctxq1tqvaCgkFb8cCA/edit?usp=sharing"",""หนองคาย!J88"")"),0)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IFERROR(__xludf.DUMMYFUNCTION("IMPORTRANGE(""https://docs.google.com/spreadsheets/d/1XL5vhW3sbDhbH9Cz0tuDiY8C3ctxq1tqvaCgkFb8cCA/edit?usp=sharing"",""หนองคาย!I89"")"),3)</f>
        <v>3</v>
      </c>
      <c r="J164" s="284">
        <f ca="1">IFERROR(__xludf.DUMMYFUNCTION("IMPORTRANGE(""https://docs.google.com/spreadsheets/d/1XL5vhW3sbDhbH9Cz0tuDiY8C3ctxq1tqvaCgkFb8cCA/edit?usp=sharing"",""หนองคาย!J89"")"),3)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IFERROR(__xludf.DUMMYFUNCTION("IMPORTRANGE(""https://docs.google.com/spreadsheets/d/1XL5vhW3sbDhbH9Cz0tuDiY8C3ctxq1tqvaCgkFb8cCA/edit?usp=sharing"",""หนองคาย!J100"")"),0)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IFERROR(__xludf.DUMMYFUNCTION("IMPORTRANGE(""https://docs.google.com/spreadsheets/d/1XL5vhW3sbDhbH9Cz0tuDiY8C3ctxq1tqvaCgkFb8cCA/edit?usp=sharing"",""หนองคาย!I101"")"),1)</f>
        <v>1</v>
      </c>
      <c r="J176" s="284">
        <f ca="1">IFERROR(__xludf.DUMMYFUNCTION("IMPORTRANGE(""https://docs.google.com/spreadsheets/d/1XL5vhW3sbDhbH9Cz0tuDiY8C3ctxq1tqvaCgkFb8cCA/edit?usp=sharing"",""หนองคาย!J101"")"),1)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IFERROR(__xludf.DUMMYFUNCTION("IMPORTRANGE(""https://docs.google.com/spreadsheets/d/1XL5vhW3sbDhbH9Cz0tuDiY8C3ctxq1tqvaCgkFb8cCA/edit?usp=sharing"",""หนองคาย!J110"")"),1)</f>
        <v>1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IFERROR(__xludf.DUMMYFUNCTION("IMPORTRANGE(""https://docs.google.com/spreadsheets/d/1XL5vhW3sbDhbH9Cz0tuDiY8C3ctxq1tqvaCgkFb8cCA/edit?usp=sharing"",""หนองคาย!J113"")"),1)</f>
        <v>1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IFERROR(__xludf.DUMMYFUNCTION("IMPORTRANGE(""https://docs.google.com/spreadsheets/d/1XL5vhW3sbDhbH9Cz0tuDiY8C3ctxq1tqvaCgkFb8cCA/edit?usp=sharing"",""หนองคาย!I114"")"),30000)</f>
        <v>30000</v>
      </c>
      <c r="J189" s="284">
        <f ca="1">IFERROR(__xludf.DUMMYFUNCTION("IMPORTRANGE(""https://docs.google.com/spreadsheets/d/1XL5vhW3sbDhbH9Cz0tuDiY8C3ctxq1tqvaCgkFb8cCA/edit?usp=sharing"",""หนองคาย!J114"")"),0)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IFERROR(__xludf.DUMMYFUNCTION("IMPORTRANGE(""https://docs.google.com/spreadsheets/d/1XL5vhW3sbDhbH9Cz0tuDiY8C3ctxq1tqvaCgkFb8cCA/edit?usp=sharing"",""หนองคาย!J128"")"),0)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IFERROR(__xludf.DUMMYFUNCTION("IMPORTRANGE(""https://docs.google.com/spreadsheets/d/1XL5vhW3sbDhbH9Cz0tuDiY8C3ctxq1tqvaCgkFb8cCA/edit?usp=sharing"",""หนองคาย!I129"")"),0)</f>
        <v>0</v>
      </c>
      <c r="J204" s="284">
        <f ca="1">IFERROR(__xludf.DUMMYFUNCTION("IMPORTRANGE(""https://docs.google.com/spreadsheets/d/1XL5vhW3sbDhbH9Cz0tuDiY8C3ctxq1tqvaCgkFb8cCA/edit?usp=sharing"",""หนองคาย!J129"")"),0)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IFERROR(__xludf.DUMMYFUNCTION("IMPORTRANGE(""https://docs.google.com/spreadsheets/d/1XL5vhW3sbDhbH9Cz0tuDiY8C3ctxq1tqvaCgkFb8cCA/edit?usp=sharing"",""หนองคาย!J143"")"),0)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IFERROR(__xludf.DUMMYFUNCTION("IMPORTRANGE(""https://docs.google.com/spreadsheets/d/1XL5vhW3sbDhbH9Cz0tuDiY8C3ctxq1tqvaCgkFb8cCA/edit?usp=sharing"",""หนองคาย!I144"")"),15)</f>
        <v>15</v>
      </c>
      <c r="J219" s="267">
        <f ca="1">IFERROR(__xludf.DUMMYFUNCTION("IMPORTRANGE(""https://docs.google.com/spreadsheets/d/1XL5vhW3sbDhbH9Cz0tuDiY8C3ctxq1tqvaCgkFb8cCA/edit?usp=sharing"",""หนองคาย!J144"")"),15)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IFERROR(__xludf.DUMMYFUNCTION("IMPORTRANGE(""https://docs.google.com/spreadsheets/d/1Yj_ptqi66GCucihVvJfMjLAmec39IyEx_6qawtMGysU/edit?usp=sharing"",""สบก!BS53"")"),21125)</f>
        <v>21125</v>
      </c>
      <c r="N224" s="627">
        <f ca="1">IFERROR(__xludf.DUMMYFUNCTION("IMPORTRANGE(""https://docs.google.com/spreadsheets/d/1Yj_ptqi66GCucihVvJfMjLAmec39IyEx_6qawtMGysU/edit?usp=sharing"",""สบก!BT53"")"),21125)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IFERROR(__xludf.DUMMYFUNCTION("IMPORTRANGE(""https://docs.google.com/spreadsheets/d/1Yj_ptqi66GCucihVvJfMjLAmec39IyEx_6qawtMGysU/edit?usp=sharing"",""สบก!BQ53"")"),0)</f>
        <v>0</v>
      </c>
      <c r="M228" s="625"/>
      <c r="N228" s="622">
        <f ca="1">IFERROR(__xludf.DUMMYFUNCTION("IMPORTRANGE(""https://docs.google.com/spreadsheets/d/1Yj_ptqi66GCucihVvJfMjLAmec39IyEx_6qawtMGysU/edit?usp=sharing"",""สบก!BU53"")"),0)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IFERROR(__xludf.DUMMYFUNCTION("IMPORTRANGE(""https://docs.google.com/spreadsheets/d/1XL5vhW3sbDhbH9Cz0tuDiY8C3ctxq1tqvaCgkFb8cCA/edit?usp=sharing"",""หนองคาย!I149"")"),15)</f>
        <v>15</v>
      </c>
      <c r="J229" s="267">
        <f ca="1">IFERROR(__xludf.DUMMYFUNCTION("IMPORTRANGE(""https://docs.google.com/spreadsheets/d/1XL5vhW3sbDhbH9Cz0tuDiY8C3ctxq1tqvaCgkFb8cCA/edit?usp=sharing"",""หนองคาย!J149"")"),15)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IFERROR(__xludf.DUMMYFUNCTION("IMPORTRANGE(""https://docs.google.com/spreadsheets/d/1XL5vhW3sbDhbH9Cz0tuDiY8C3ctxq1tqvaCgkFb8cCA/edit?usp=sharing"",""หนองคาย!J157"")"),1)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IFERROR(__xludf.DUMMYFUNCTION("IMPORTRANGE(""https://docs.google.com/spreadsheets/d/1XL5vhW3sbDhbH9Cz0tuDiY8C3ctxq1tqvaCgkFb8cCA/edit?usp=sharing"",""หนองคาย!I158"")"),0)</f>
        <v>0</v>
      </c>
      <c r="J238" s="267">
        <f ca="1">IFERROR(__xludf.DUMMYFUNCTION("IMPORTRANGE(""https://docs.google.com/spreadsheets/d/1XL5vhW3sbDhbH9Cz0tuDiY8C3ctxq1tqvaCgkFb8cCA/edit?usp=sharing"",""หนองคาย!J158"")"),0)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IFERROR(__xludf.DUMMYFUNCTION("IMPORTRANGE(""https://docs.google.com/spreadsheets/d/1XL5vhW3sbDhbH9Cz0tuDiY8C3ctxq1tqvaCgkFb8cCA/edit?usp=sharing"",""หนองคาย!J166"")"),0)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IFERROR(__xludf.DUMMYFUNCTION("IMPORTRANGE(""https://docs.google.com/spreadsheets/d/1XL5vhW3sbDhbH9Cz0tuDiY8C3ctxq1tqvaCgkFb8cCA/edit?usp=sharing"",""หนองคาย!I169"")"),25)</f>
        <v>25</v>
      </c>
      <c r="J249" s="316">
        <f ca="1">IFERROR(__xludf.DUMMYFUNCTION("IMPORTRANGE(""https://docs.google.com/spreadsheets/d/1XL5vhW3sbDhbH9Cz0tuDiY8C3ctxq1tqvaCgkFb8cCA/edit?usp=sharing"",""หนองคาย!J169"")"),25)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43754</v>
      </c>
      <c r="O250" s="151">
        <f t="shared" ref="O250:O252" ca="1" si="78">IF(L250&gt;0,N250*100/L250,0)</f>
        <v>49.161797752808987</v>
      </c>
      <c r="P250" s="151">
        <f t="shared" ref="P250:P252" ca="1" si="79">IF(M250&gt;0,N250*100/M250,0)</f>
        <v>92.113684210526316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43754</v>
      </c>
      <c r="O252" s="156">
        <f t="shared" ca="1" si="78"/>
        <v>49.161797752808987</v>
      </c>
      <c r="P252" s="156">
        <f t="shared" ca="1" si="79"/>
        <v>92.113684210526316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IFERROR(__xludf.DUMMYFUNCTION("IMPORTRANGE(""https://docs.google.com/spreadsheets/d/1Yj_ptqi66GCucihVvJfMjLAmec39IyEx_6qawtMGysU/edit?usp=sharing"",""สบก!CB53"")"),47500)</f>
        <v>47500</v>
      </c>
      <c r="N254" s="627">
        <f ca="1">IFERROR(__xludf.DUMMYFUNCTION("IMPORTRANGE(""https://docs.google.com/spreadsheets/d/1Yj_ptqi66GCucihVvJfMjLAmec39IyEx_6qawtMGysU/edit?usp=sharing"",""สบก!CC53"")"),43754)</f>
        <v>43754</v>
      </c>
      <c r="O254" s="169">
        <f ca="1">IF(L254&gt;0,N254*100/L254,0)</f>
        <v>49.161797752808987</v>
      </c>
      <c r="P254" s="169">
        <f ca="1">IF(M254&gt;0,N254*100/M254,0)</f>
        <v>92.113684210526316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IFERROR(__xludf.DUMMYFUNCTION("IMPORTRANGE(""https://docs.google.com/spreadsheets/d/1Yj_ptqi66GCucihVvJfMjLAmec39IyEx_6qawtMGysU/edit?usp=sharing"",""สบก!BZ53"")"),0)</f>
        <v>0</v>
      </c>
      <c r="M258" s="625"/>
      <c r="N258" s="622">
        <f ca="1">IFERROR(__xludf.DUMMYFUNCTION("IMPORTRANGE(""https://docs.google.com/spreadsheets/d/1Yj_ptqi66GCucihVvJfMjLAmec39IyEx_6qawtMGysU/edit?usp=sharing"",""สบก!CD53"")"),0)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IFERROR(__xludf.DUMMYFUNCTION("IMPORTRANGE(""https://docs.google.com/spreadsheets/d/1XL5vhW3sbDhbH9Cz0tuDiY8C3ctxq1tqvaCgkFb8cCA/edit?usp=sharing"",""หนองคาย!J184"")"),0)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IFERROR(__xludf.DUMMYFUNCTION("IMPORTRANGE(""https://docs.google.com/spreadsheets/d/1XL5vhW3sbDhbH9Cz0tuDiY8C3ctxq1tqvaCgkFb8cCA/edit?usp=sharing"",""หนองคาย!I185"")"),0)</f>
        <v>0</v>
      </c>
      <c r="J270" s="316">
        <f ca="1">IFERROR(__xludf.DUMMYFUNCTION("IMPORTRANGE(""https://docs.google.com/spreadsheets/d/1XL5vhW3sbDhbH9Cz0tuDiY8C3ctxq1tqvaCgkFb8cCA/edit?usp=sharing"",""หนองคาย!J185"")"),0)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IFERROR(__xludf.DUMMYFUNCTION("IMPORTRANGE(""https://docs.google.com/spreadsheets/d/1Yj_ptqi66GCucihVvJfMjLAmec39IyEx_6qawtMGysU/edit?usp=sharing"",""สบก!CK53"")"),0)</f>
        <v>0</v>
      </c>
      <c r="N275" s="627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IFERROR(__xludf.DUMMYFUNCTION("IMPORTRANGE(""https://docs.google.com/spreadsheets/d/1Yj_ptqi66GCucihVvJfMjLAmec39IyEx_6qawtMGysU/edit?usp=sharing"",""สบก!CI53"")"),0)</f>
        <v>0</v>
      </c>
      <c r="M279" s="625"/>
      <c r="N279" s="622">
        <f ca="1">IFERROR(__xludf.DUMMYFUNCTION("IMPORTRANGE(""https://docs.google.com/spreadsheets/d/1Yj_ptqi66GCucihVvJfMjLAmec39IyEx_6qawtMGysU/edit?usp=sharing"",""สบก!CM53"")"),0)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IFERROR(__xludf.DUMMYFUNCTION("IMPORTRANGE(""https://docs.google.com/spreadsheets/d/1XL5vhW3sbDhbH9Cz0tuDiY8C3ctxq1tqvaCgkFb8cCA/edit?usp=sharing"",""หนองคาย!I199"")"),0)</f>
        <v>0</v>
      </c>
      <c r="J289" s="316">
        <f ca="1">IFERROR(__xludf.DUMMYFUNCTION("IMPORTRANGE(""https://docs.google.com/spreadsheets/d/1XL5vhW3sbDhbH9Cz0tuDiY8C3ctxq1tqvaCgkFb8cCA/edit?usp=sharing"",""หนองคาย!J199"")"),0)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IFERROR(__xludf.DUMMYFUNCTION("IMPORTRANGE(""https://docs.google.com/spreadsheets/d/1Yj_ptqi66GCucihVvJfMjLAmec39IyEx_6qawtMGysU/edit?usp=sharing"",""สบก!CT53"")"),0)</f>
        <v>0</v>
      </c>
      <c r="N294" s="627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IFERROR(__xludf.DUMMYFUNCTION("IMPORTRANGE(""https://docs.google.com/spreadsheets/d/1Yj_ptqi66GCucihVvJfMjLAmec39IyEx_6qawtMGysU/edit?usp=sharing"",""สบก!CR53"")"),0)</f>
        <v>0</v>
      </c>
      <c r="M298" s="625"/>
      <c r="N298" s="622">
        <f ca="1">IFERROR(__xludf.DUMMYFUNCTION("IMPORTRANGE(""https://docs.google.com/spreadsheets/d/1Yj_ptqi66GCucihVvJfMjLAmec39IyEx_6qawtMGysU/edit?usp=sharing"",""สบก!CV53"")"),0)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IFERROR(__xludf.DUMMYFUNCTION("IMPORTRANGE(""https://docs.google.com/spreadsheets/d/1XL5vhW3sbDhbH9Cz0tuDiY8C3ctxq1tqvaCgkFb8cCA/edit?usp=sharing"",""หนองคาย!J213"")"),0)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IFERROR(__xludf.DUMMYFUNCTION("IMPORTRANGE(""https://docs.google.com/spreadsheets/d/1XL5vhW3sbDhbH9Cz0tuDiY8C3ctxq1tqvaCgkFb8cCA/edit?usp=sharing"",""หนองคาย!I214"")"),0)</f>
        <v>0</v>
      </c>
      <c r="J309" s="333">
        <f ca="1">IFERROR(__xludf.DUMMYFUNCTION("IMPORTRANGE(""https://docs.google.com/spreadsheets/d/1XL5vhW3sbDhbH9Cz0tuDiY8C3ctxq1tqvaCgkFb8cCA/edit?usp=sharing"",""หนองคาย!J214"")"),0)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IFERROR(__xludf.DUMMYFUNCTION("IMPORTRANGE(""https://docs.google.com/spreadsheets/d/1Yj_ptqi66GCucihVvJfMjLAmec39IyEx_6qawtMGysU/edit?usp=sharing"",""สบก!DC53"")"),0)</f>
        <v>0</v>
      </c>
      <c r="N314" s="627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IFERROR(__xludf.DUMMYFUNCTION("IMPORTRANGE(""https://docs.google.com/spreadsheets/d/1Yj_ptqi66GCucihVvJfMjLAmec39IyEx_6qawtMGysU/edit?usp=sharing"",""สบก!DA53"")"),0)</f>
        <v>0</v>
      </c>
      <c r="M318" s="625"/>
      <c r="N318" s="622">
        <f ca="1">IFERROR(__xludf.DUMMYFUNCTION("IMPORTRANGE(""https://docs.google.com/spreadsheets/d/1Yj_ptqi66GCucihVvJfMjLAmec39IyEx_6qawtMGysU/edit?usp=sharing"",""สบก!DE53"")"),0)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IFERROR(__xludf.DUMMYFUNCTION("IMPORTRANGE(""https://docs.google.com/spreadsheets/d/1XL5vhW3sbDhbH9Cz0tuDiY8C3ctxq1tqvaCgkFb8cCA/edit?usp=sharing"",""หนองคาย!J226"")"),0)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IFERROR(__xludf.DUMMYFUNCTION("IMPORTRANGE(""https://docs.google.com/spreadsheets/d/1XL5vhW3sbDhbH9Cz0tuDiY8C3ctxq1tqvaCgkFb8cCA/edit?usp=sharing"",""หนองคาย!I228"")"),650)</f>
        <v>650</v>
      </c>
      <c r="J328" s="339">
        <f ca="1">IFERROR(__xludf.DUMMYFUNCTION("IMPORTRANGE(""https://docs.google.com/spreadsheets/d/1XL5vhW3sbDhbH9Cz0tuDiY8C3ctxq1tqvaCgkFb8cCA/edit?usp=sharing"",""หนองคาย!J228"")"),59)</f>
        <v>59</v>
      </c>
      <c r="K328" s="317">
        <f ca="1">IF(I328&gt;0,J328*100/I328,0)</f>
        <v>9.0769230769230766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1197130</v>
      </c>
      <c r="M329" s="152">
        <f t="shared" ca="1" si="98"/>
        <v>948900</v>
      </c>
      <c r="N329" s="152">
        <f t="shared" ca="1" si="98"/>
        <v>784443.29</v>
      </c>
      <c r="O329" s="151">
        <f t="shared" ref="O329:O331" ca="1" si="99">IF(L329&gt;0,N329*100/L329,0)</f>
        <v>65.526992891331773</v>
      </c>
      <c r="P329" s="151">
        <f t="shared" ref="P329:P331" ca="1" si="100">IF(M329&gt;0,N329*100/M329,0)</f>
        <v>82.668699546843712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1197130</v>
      </c>
      <c r="M331" s="157">
        <f t="shared" ca="1" si="102"/>
        <v>948900</v>
      </c>
      <c r="N331" s="157">
        <f t="shared" ca="1" si="102"/>
        <v>784443.29</v>
      </c>
      <c r="O331" s="156">
        <f t="shared" ca="1" si="99"/>
        <v>65.526992891331773</v>
      </c>
      <c r="P331" s="156">
        <f t="shared" ca="1" si="100"/>
        <v>82.668699546843712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1011130</v>
      </c>
      <c r="M333" s="626">
        <f ca="1">IFERROR(__xludf.DUMMYFUNCTION("IMPORTRANGE(""https://docs.google.com/spreadsheets/d/1Yj_ptqi66GCucihVvJfMjLAmec39IyEx_6qawtMGysU/edit?usp=sharing"",""สบก!DL53"")"),762900)</f>
        <v>762900</v>
      </c>
      <c r="N333" s="627">
        <f ca="1">IFERROR(__xludf.DUMMYFUNCTION("IMPORTRANGE(""https://docs.google.com/spreadsheets/d/1Yj_ptqi66GCucihVvJfMjLAmec39IyEx_6qawtMGysU/edit?usp=sharing"",""สบก!DM53"")"),598443.29)</f>
        <v>598443.29</v>
      </c>
      <c r="O333" s="169">
        <f ca="1">IF(L333&gt;0,N333*100/L333,0)</f>
        <v>59.185593346058369</v>
      </c>
      <c r="P333" s="169">
        <f ca="1">IF(M333&gt;0,N333*100/M333,0)</f>
        <v>78.443215362432824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IFERROR(__xludf.DUMMYFUNCTION("IMPORTRANGE(""https://docs.google.com/spreadsheets/d/1Yj_ptqi66GCucihVvJfMjLAmec39IyEx_6qawtMGysU/edit?usp=sharing"",""สบก!DI53"")"),593530)</f>
        <v>593530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IFERROR(__xludf.DUMMYFUNCTION("IMPORTRANGE(""https://docs.google.com/spreadsheets/d/1Yj_ptqi66GCucihVvJfMjLAmec39IyEx_6qawtMGysU/edit?usp=sharing"",""สบก!DJ53"")"),186000)</f>
        <v>186000</v>
      </c>
      <c r="M337" s="625">
        <f ca="1">L337</f>
        <v>186000</v>
      </c>
      <c r="N337" s="622">
        <f ca="1">IFERROR(__xludf.DUMMYFUNCTION("IMPORTRANGE(""https://docs.google.com/spreadsheets/d/1Yj_ptqi66GCucihVvJfMjLAmec39IyEx_6qawtMGysU/edit?usp=sharing"",""สบก!DN53"")"),186000)</f>
        <v>186000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IFERROR(__xludf.DUMMYFUNCTION("IMPORTRANGE(""https://docs.google.com/spreadsheets/d/1XL5vhW3sbDhbH9Cz0tuDiY8C3ctxq1tqvaCgkFb8cCA/edit?usp=sharing"",""หนองคาย!J234"")"),136)</f>
        <v>136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IFERROR(__xludf.DUMMYFUNCTION("IMPORTRANGE(""https://docs.google.com/spreadsheets/d/1XL5vhW3sbDhbH9Cz0tuDiY8C3ctxq1tqvaCgkFb8cCA/edit?usp=sharing"",""หนองคาย!J235"")"),1344.17999999999)</f>
        <v>1344.1799999999901</v>
      </c>
      <c r="K340" s="342">
        <f t="shared" ca="1" si="103"/>
        <v>39.81575829383857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IFERROR(__xludf.DUMMYFUNCTION("IMPORTRANGE(""https://docs.google.com/spreadsheets/d/1XL5vhW3sbDhbH9Cz0tuDiY8C3ctxq1tqvaCgkFb8cCA/edit?usp=sharing"",""หนองคาย!J236"")"),267)</f>
        <v>267</v>
      </c>
      <c r="K341" s="342">
        <f t="shared" ca="1" si="103"/>
        <v>41.07692307692308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IFERROR(__xludf.DUMMYFUNCTION("IMPORTRANGE(""https://docs.google.com/spreadsheets/d/1XL5vhW3sbDhbH9Cz0tuDiY8C3ctxq1tqvaCgkFb8cCA/edit?usp=sharing"",""หนองคาย!J237"")"),3350.59)</f>
        <v>3350.59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IFERROR(__xludf.DUMMYFUNCTION("IMPORTRANGE(""https://docs.google.com/spreadsheets/d/1XL5vhW3sbDhbH9Cz0tuDiY8C3ctxq1tqvaCgkFb8cCA/edit?usp=sharing"",""หนองคาย!J240"")"),59)</f>
        <v>59</v>
      </c>
      <c r="K345" s="342">
        <f t="shared" ca="1" si="103"/>
        <v>9.0769230769230766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IFERROR(__xludf.DUMMYFUNCTION("IMPORTRANGE(""https://docs.google.com/spreadsheets/d/1XL5vhW3sbDhbH9Cz0tuDiY8C3ctxq1tqvaCgkFb8cCA/edit?usp=sharing"",""หนองคาย!J241"")"),854.19)</f>
        <v>854.19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IFERROR(__xludf.DUMMYFUNCTION("IMPORTRANGE(""https://docs.google.com/spreadsheets/d/1XL5vhW3sbDhbH9Cz0tuDiY8C3ctxq1tqvaCgkFb8cCA/edit?usp=sharing"",""หนองคาย!L242"")"),2454056)</f>
        <v>2454056</v>
      </c>
      <c r="M347" s="358"/>
      <c r="N347" s="358">
        <f ca="1">IFERROR(__xludf.DUMMYFUNCTION("IMPORTRANGE(""https://docs.google.com/spreadsheets/d/1XL5vhW3sbDhbH9Cz0tuDiY8C3ctxq1tqvaCgkFb8cCA/edit?usp=sharing"",""หนองคาย!M242"")"),987479.799999999)</f>
        <v>987479.799999999</v>
      </c>
      <c r="O347" s="358">
        <f ca="1">+IF(L347&gt;0,N347*100/L347,0)</f>
        <v>40.238682409855315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IFERROR(__xludf.DUMMYFUNCTION("IMPORTRANGE(""https://docs.google.com/spreadsheets/d/1XL5vhW3sbDhbH9Cz0tuDiY8C3ctxq1tqvaCgkFb8cCA/edit?usp=sharing"",""หนองคาย!J244"")"),80)</f>
        <v>80</v>
      </c>
      <c r="K349" s="372">
        <f t="shared" ref="K349:K350" ca="1" si="104">IF(I349&gt;0,J349*100/I349,0)</f>
        <v>20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IFERROR(__xludf.DUMMYFUNCTION("IMPORTRANGE(""https://docs.google.com/spreadsheets/d/1XL5vhW3sbDhbH9Cz0tuDiY8C3ctxq1tqvaCgkFb8cCA/edit?usp=sharing"",""หนองคาย!M244"")"),251157.499999999)</f>
        <v>251157.49999999901</v>
      </c>
      <c r="O349" s="373">
        <f ca="1">+IF(L349&gt;0,N349*100/L349,0)</f>
        <v>39.541153688717998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IFERROR(__xludf.DUMMYFUNCTION("IMPORTRANGE(""https://docs.google.com/spreadsheets/d/1XL5vhW3sbDhbH9Cz0tuDiY8C3ctxq1tqvaCgkFb8cCA/edit?usp=sharing"",""หนองคาย!L247"")"),635180)</f>
        <v>635180</v>
      </c>
      <c r="M352" s="165"/>
      <c r="N352" s="164">
        <f ca="1">IFERROR(__xludf.DUMMYFUNCTION("IMPORTRANGE(""https://docs.google.com/spreadsheets/d/1XL5vhW3sbDhbH9Cz0tuDiY8C3ctxq1tqvaCgkFb8cCA/edit?usp=sharing"",""หนองคาย!M247"")"),251157.499999999)</f>
        <v>251157.49999999901</v>
      </c>
      <c r="O352" s="165">
        <f t="shared" ca="1" si="105"/>
        <v>39.541153688717998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IFERROR(__xludf.DUMMYFUNCTION("IMPORTRANGE(""https://docs.google.com/spreadsheets/d/1XL5vhW3sbDhbH9Cz0tuDiY8C3ctxq1tqvaCgkFb8cCA/edit?usp=sharing"",""หนองคาย!L249"")"),635180)</f>
        <v>635180</v>
      </c>
      <c r="M354" s="169"/>
      <c r="N354" s="168">
        <f ca="1">IFERROR(__xludf.DUMMYFUNCTION("IMPORTRANGE(""https://docs.google.com/spreadsheets/d/1XL5vhW3sbDhbH9Cz0tuDiY8C3ctxq1tqvaCgkFb8cCA/edit?usp=sharing"",""หนองคาย!M249"")"),251157.499999999)</f>
        <v>251157.49999999901</v>
      </c>
      <c r="O354" s="169">
        <f t="shared" ca="1" si="105"/>
        <v>39.541153688717998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IFERROR(__xludf.DUMMYFUNCTION("IMPORTRANGE(""https://docs.google.com/spreadsheets/d/1XL5vhW3sbDhbH9Cz0tuDiY8C3ctxq1tqvaCgkFb8cCA/edit?usp=sharing"",""หนองคาย!M250"")"),102620)</f>
        <v>102620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IFERROR(__xludf.DUMMYFUNCTION("IMPORTRANGE(""https://docs.google.com/spreadsheets/d/1XL5vhW3sbDhbH9Cz0tuDiY8C3ctxq1tqvaCgkFb8cCA/edit?usp=sharing"",""หนองคาย!M251"")"),46600)</f>
        <v>46600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IFERROR(__xludf.DUMMYFUNCTION("IMPORTRANGE(""https://docs.google.com/spreadsheets/d/1XL5vhW3sbDhbH9Cz0tuDiY8C3ctxq1tqvaCgkFb8cCA/edit?usp=sharing"",""หนองคาย!M252"")"),72246.29)</f>
        <v>72246.289999999994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IFERROR(__xludf.DUMMYFUNCTION("IMPORTRANGE(""https://docs.google.com/spreadsheets/d/1XL5vhW3sbDhbH9Cz0tuDiY8C3ctxq1tqvaCgkFb8cCA/edit?usp=sharing"",""หนองคาย!M253"")"),29691.21)</f>
        <v>29691.21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IFERROR(__xludf.DUMMYFUNCTION("IMPORTRANGE(""https://docs.google.com/spreadsheets/d/1XL5vhW3sbDhbH9Cz0tuDiY8C3ctxq1tqvaCgkFb8cCA/edit?usp=sharing"",""หนองคาย!J270"")"),80)</f>
        <v>80</v>
      </c>
      <c r="K375" s="163">
        <f t="shared" ref="K375:K377" ca="1" si="107">IF(I375&gt;0,J375*100/I375,0)</f>
        <v>20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IFERROR(__xludf.DUMMYFUNCTION("IMPORTRANGE(""https://docs.google.com/spreadsheets/d/1XL5vhW3sbDhbH9Cz0tuDiY8C3ctxq1tqvaCgkFb8cCA/edit?usp=sharing"",""หนองคาย!J271"")"),80)</f>
        <v>80</v>
      </c>
      <c r="K376" s="163">
        <f t="shared" ca="1" si="107"/>
        <v>80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IFERROR(__xludf.DUMMYFUNCTION("IMPORTRANGE(""https://docs.google.com/spreadsheets/d/1XL5vhW3sbDhbH9Cz0tuDiY8C3ctxq1tqvaCgkFb8cCA/edit?usp=sharing"",""หนองคาย!J274"")"),0)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IFERROR(__xludf.DUMMYFUNCTION("IMPORTRANGE(""https://docs.google.com/spreadsheets/d/1XL5vhW3sbDhbH9Cz0tuDiY8C3ctxq1tqvaCgkFb8cCA/edit?usp=sharing"",""หนองคาย!M275"")"),122071)</f>
        <v>122071</v>
      </c>
      <c r="O380" s="373">
        <f ca="1">+IF(L380&gt;0,N380*100/L380,0)</f>
        <v>26.529099839179381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IFERROR(__xludf.DUMMYFUNCTION("IMPORTRANGE(""https://docs.google.com/spreadsheets/d/1XL5vhW3sbDhbH9Cz0tuDiY8C3ctxq1tqvaCgkFb8cCA/edit?usp=sharing"",""หนองคาย!M278"")"),122071)</f>
        <v>122071</v>
      </c>
      <c r="O383" s="165">
        <f t="shared" ca="1" si="109"/>
        <v>26.529099839179381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IFERROR(__xludf.DUMMYFUNCTION("IMPORTRANGE(""https://docs.google.com/spreadsheets/d/1XL5vhW3sbDhbH9Cz0tuDiY8C3ctxq1tqvaCgkFb8cCA/edit?usp=sharing"",""หนองคาย!M280"")"),122071)</f>
        <v>122071</v>
      </c>
      <c r="O385" s="169">
        <f t="shared" ca="1" si="109"/>
        <v>26.529099839179381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IFERROR(__xludf.DUMMYFUNCTION("IMPORTRANGE(""https://docs.google.com/spreadsheets/d/1XL5vhW3sbDhbH9Cz0tuDiY8C3ctxq1tqvaCgkFb8cCA/edit?usp=sharing"",""หนองคาย!M281"")"),110156)</f>
        <v>110156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IFERROR(__xludf.DUMMYFUNCTION("IMPORTRANGE(""https://docs.google.com/spreadsheets/d/1XL5vhW3sbDhbH9Cz0tuDiY8C3ctxq1tqvaCgkFb8cCA/edit?usp=sharing"",""หนองคาย!M284"")"),11915)</f>
        <v>11915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IFERROR(__xludf.DUMMYFUNCTION("IMPORTRANGE(""https://docs.google.com/spreadsheets/d/1XL5vhW3sbDhbH9Cz0tuDiY8C3ctxq1tqvaCgkFb8cCA/edit?usp=sharing"",""หนองคาย!J295"")"),0)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IFERROR(__xludf.DUMMYFUNCTION("IMPORTRANGE(""https://docs.google.com/spreadsheets/d/1XL5vhW3sbDhbH9Cz0tuDiY8C3ctxq1tqvaCgkFb8cCA/edit?usp=sharing"",""หนองคาย!M296"")"),126752.95)</f>
        <v>126752.95</v>
      </c>
      <c r="O401" s="373">
        <f ca="1">+IF(L401&gt;0,N401*100/L401,0)</f>
        <v>65.57656888612965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IFERROR(__xludf.DUMMYFUNCTION("IMPORTRANGE(""https://docs.google.com/spreadsheets/d/1XL5vhW3sbDhbH9Cz0tuDiY8C3ctxq1tqvaCgkFb8cCA/edit?usp=sharing"",""หนองคาย!M299"")"),126752.95)</f>
        <v>126752.95</v>
      </c>
      <c r="O404" s="169">
        <f t="shared" ca="1" si="112"/>
        <v>65.57656888612965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IFERROR(__xludf.DUMMYFUNCTION("IMPORTRANGE(""https://docs.google.com/spreadsheets/d/1XL5vhW3sbDhbH9Cz0tuDiY8C3ctxq1tqvaCgkFb8cCA/edit?usp=sharing"",""หนองคาย!M301"")"),126752.95)</f>
        <v>126752.95</v>
      </c>
      <c r="O406" s="169">
        <f t="shared" ca="1" si="112"/>
        <v>65.57656888612965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IFERROR(__xludf.DUMMYFUNCTION("IMPORTRANGE(""https://docs.google.com/spreadsheets/d/1XL5vhW3sbDhbH9Cz0tuDiY8C3ctxq1tqvaCgkFb8cCA/edit?usp=sharing"",""หนองคาย!M302"")"),112612.94)</f>
        <v>112612.94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IFERROR(__xludf.DUMMYFUNCTION("IMPORTRANGE(""https://docs.google.com/spreadsheets/d/1XL5vhW3sbDhbH9Cz0tuDiY8C3ctxq1tqvaCgkFb8cCA/edit?usp=sharing"",""หนองคาย!M305"")"),14140.01)</f>
        <v>14140.01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IFERROR(__xludf.DUMMYFUNCTION("IMPORTRANGE(""https://docs.google.com/spreadsheets/d/1XL5vhW3sbDhbH9Cz0tuDiY8C3ctxq1tqvaCgkFb8cCA/edit?usp=sharing"",""หนองคาย!J329"")"),0)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IFERROR(__xludf.DUMMYFUNCTION("IMPORTRANGE(""https://docs.google.com/spreadsheets/d/1XL5vhW3sbDhbH9Cz0tuDiY8C3ctxq1tqvaCgkFb8cCA/edit?usp=sharing"",""หนองคาย!M330"")"),34940)</f>
        <v>34940</v>
      </c>
      <c r="O435" s="412">
        <f t="shared" ref="O435:O439" ca="1" si="114">+IF(L435&gt;0,N435*100/L435,0)</f>
        <v>39.704545454545453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IFERROR(__xludf.DUMMYFUNCTION("IMPORTRANGE(""https://docs.google.com/spreadsheets/d/1XL5vhW3sbDhbH9Cz0tuDiY8C3ctxq1tqvaCgkFb8cCA/edit?usp=sharing"",""หนองคาย!M332"")"),34940)</f>
        <v>34940</v>
      </c>
      <c r="O437" s="169">
        <f t="shared" ca="1" si="114"/>
        <v>39.704545454545453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IFERROR(__xludf.DUMMYFUNCTION("IMPORTRANGE(""https://docs.google.com/spreadsheets/d/1XL5vhW3sbDhbH9Cz0tuDiY8C3ctxq1tqvaCgkFb8cCA/edit?usp=sharing"",""หนองคาย!M334"")"),34940)</f>
        <v>34940</v>
      </c>
      <c r="O439" s="169">
        <f t="shared" ca="1" si="114"/>
        <v>39.704545454545453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IFERROR(__xludf.DUMMYFUNCTION("IMPORTRANGE(""https://docs.google.com/spreadsheets/d/1XL5vhW3sbDhbH9Cz0tuDiY8C3ctxq1tqvaCgkFb8cCA/edit?usp=sharing"",""หนองคาย!M338"")"),2720)</f>
        <v>2720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IFERROR(__xludf.DUMMYFUNCTION("IMPORTRANGE(""https://docs.google.com/spreadsheets/d/1XL5vhW3sbDhbH9Cz0tuDiY8C3ctxq1tqvaCgkFb8cCA/edit?usp=sharing"",""หนองคาย!J349"")"),0)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IFERROR(__xludf.DUMMYFUNCTION("IMPORTRANGE(""https://docs.google.com/spreadsheets/d/1XL5vhW3sbDhbH9Cz0tuDiY8C3ctxq1tqvaCgkFb8cCA/edit?usp=sharing"",""หนองคาย!J350"")"),52883.66)</f>
        <v>52883.66</v>
      </c>
      <c r="K455" s="372">
        <f ca="1">IF(I455&gt;0,J455*100/I455,0)</f>
        <v>100.00124803812189</v>
      </c>
      <c r="L455" s="373">
        <f ca="1">IFERROR(__xludf.DUMMYFUNCTION("IMPORTRANGE(""https://docs.google.com/spreadsheets/d/1XL5vhW3sbDhbH9Cz0tuDiY8C3ctxq1tqvaCgkFb8cCA/edit?usp=sharing"",""หนองคาย!L350"")"),773060)</f>
        <v>773060</v>
      </c>
      <c r="M455" s="373"/>
      <c r="N455" s="373">
        <f ca="1">IFERROR(__xludf.DUMMYFUNCTION("IMPORTRANGE(""https://docs.google.com/spreadsheets/d/1XL5vhW3sbDhbH9Cz0tuDiY8C3ctxq1tqvaCgkFb8cCA/edit?usp=sharing"",""หนองคาย!M350"")"),302448.35)</f>
        <v>302448.34999999998</v>
      </c>
      <c r="O455" s="373">
        <f t="shared" ref="O455:O459" ca="1" si="116">+IF(L455&gt;0,N455*100/L455,0)</f>
        <v>39.123528574754864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IFERROR(__xludf.DUMMYFUNCTION("IMPORTRANGE(""https://docs.google.com/spreadsheets/d/1XL5vhW3sbDhbH9Cz0tuDiY8C3ctxq1tqvaCgkFb8cCA/edit?usp=sharing"",""หนองคาย!L352"")"),773060)</f>
        <v>773060</v>
      </c>
      <c r="M457" s="165"/>
      <c r="N457" s="169">
        <f ca="1">IFERROR(__xludf.DUMMYFUNCTION("IMPORTRANGE(""https://docs.google.com/spreadsheets/d/1XL5vhW3sbDhbH9Cz0tuDiY8C3ctxq1tqvaCgkFb8cCA/edit?usp=sharing"",""หนองคาย!M352"")"),302448.35)</f>
        <v>302448.34999999998</v>
      </c>
      <c r="O457" s="169">
        <f t="shared" ca="1" si="116"/>
        <v>39.123528574754864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IFERROR(__xludf.DUMMYFUNCTION("IMPORTRANGE(""https://docs.google.com/spreadsheets/d/1XL5vhW3sbDhbH9Cz0tuDiY8C3ctxq1tqvaCgkFb8cCA/edit?usp=sharing"",""หนองคาย!L354"")"),773060)</f>
        <v>773060</v>
      </c>
      <c r="M459" s="169"/>
      <c r="N459" s="169">
        <f ca="1">IFERROR(__xludf.DUMMYFUNCTION("IMPORTRANGE(""https://docs.google.com/spreadsheets/d/1XL5vhW3sbDhbH9Cz0tuDiY8C3ctxq1tqvaCgkFb8cCA/edit?usp=sharing"",""หนองคาย!M354"")"),302448.35)</f>
        <v>302448.34999999998</v>
      </c>
      <c r="O459" s="169">
        <f t="shared" ca="1" si="116"/>
        <v>39.123528574754864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IFERROR(__xludf.DUMMYFUNCTION("IMPORTRANGE(""https://docs.google.com/spreadsheets/d/1XL5vhW3sbDhbH9Cz0tuDiY8C3ctxq1tqvaCgkFb8cCA/edit?usp=sharing"",""หนองคาย!M357"")"),58833.35)</f>
        <v>58833.35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IFERROR(__xludf.DUMMYFUNCTION("IMPORTRANGE(""https://docs.google.com/spreadsheets/d/1XL5vhW3sbDhbH9Cz0tuDiY8C3ctxq1tqvaCgkFb8cCA/edit?usp=sharing"",""หนองคาย!M358"")"),243615)</f>
        <v>243615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IFERROR(__xludf.DUMMYFUNCTION("IMPORTRANGE(""https://docs.google.com/spreadsheets/d/1XL5vhW3sbDhbH9Cz0tuDiY8C3ctxq1tqvaCgkFb8cCA/edit?usp=sharing"",""หนองคาย!I359"")"),52883)</f>
        <v>52883</v>
      </c>
      <c r="J464" s="267">
        <f ca="1">IFERROR(__xludf.DUMMYFUNCTION("IMPORTRANGE(""https://docs.google.com/spreadsheets/d/1XL5vhW3sbDhbH9Cz0tuDiY8C3ctxq1tqvaCgkFb8cCA/edit?usp=sharing"",""หนองคาย!J359"")"),52883.66)</f>
        <v>52883.66</v>
      </c>
      <c r="K464" s="268">
        <f t="shared" ref="K464:K515" ca="1" si="117">IF(I464&gt;0,J464*100/I464,0)</f>
        <v>100.00124803812189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IFERROR(__xludf.DUMMYFUNCTION("IMPORTRANGE(""https://docs.google.com/spreadsheets/d/1XL5vhW3sbDhbH9Cz0tuDiY8C3ctxq1tqvaCgkFb8cCA/edit?usp=sharing"",""หนองคาย!J360"")"),52883.666)</f>
        <v>52883.665999999997</v>
      </c>
      <c r="K465" s="202">
        <f t="shared" ca="1" si="117"/>
        <v>100.001259383923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IFERROR(__xludf.DUMMYFUNCTION("IMPORTRANGE(""https://docs.google.com/spreadsheets/d/1XL5vhW3sbDhbH9Cz0tuDiY8C3ctxq1tqvaCgkFb8cCA/edit?usp=sharing"",""หนองคาย!J361"")"),6542)</f>
        <v>6542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IFERROR(__xludf.DUMMYFUNCTION("IMPORTRANGE(""https://docs.google.com/spreadsheets/d/1XL5vhW3sbDhbH9Cz0tuDiY8C3ctxq1tqvaCgkFb8cCA/edit?usp=sharing"",""หนองคาย!J362"")"),39126.628)</f>
        <v>39126.627999999997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IFERROR(__xludf.DUMMYFUNCTION("IMPORTRANGE(""https://docs.google.com/spreadsheets/d/1XL5vhW3sbDhbH9Cz0tuDiY8C3ctxq1tqvaCgkFb8cCA/edit?usp=sharing"",""หนองคาย!J363"")"),5130)</f>
        <v>5130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IFERROR(__xludf.DUMMYFUNCTION("IMPORTRANGE(""https://docs.google.com/spreadsheets/d/1XL5vhW3sbDhbH9Cz0tuDiY8C3ctxq1tqvaCgkFb8cCA/edit?usp=sharing"",""หนองคาย!J364"")"),11653.51)</f>
        <v>11653.51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IFERROR(__xludf.DUMMYFUNCTION("IMPORTRANGE(""https://docs.google.com/spreadsheets/d/1XL5vhW3sbDhbH9Cz0tuDiY8C3ctxq1tqvaCgkFb8cCA/edit?usp=sharing"",""หนองคาย!J365"")"),1214)</f>
        <v>1214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IFERROR(__xludf.DUMMYFUNCTION("IMPORTRANGE(""https://docs.google.com/spreadsheets/d/1XL5vhW3sbDhbH9Cz0tuDiY8C3ctxq1tqvaCgkFb8cCA/edit?usp=sharing"",""หนองคาย!J366"")"),2103.528)</f>
        <v>2103.5279999999998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IFERROR(__xludf.DUMMYFUNCTION("IMPORTRANGE(""https://docs.google.com/spreadsheets/d/1XL5vhW3sbDhbH9Cz0tuDiY8C3ctxq1tqvaCgkFb8cCA/edit?usp=sharing"",""หนองคาย!J367"")"),198)</f>
        <v>198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IFERROR(__xludf.DUMMYFUNCTION("IMPORTRANGE(""https://docs.google.com/spreadsheets/d/1XL5vhW3sbDhbH9Cz0tuDiY8C3ctxq1tqvaCgkFb8cCA/edit?usp=sharing"",""หนองคาย!J376"")"),52883.66)</f>
        <v>52883.66</v>
      </c>
      <c r="K481" s="202">
        <f t="shared" ca="1" si="117"/>
        <v>100.00124803812189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IFERROR(__xludf.DUMMYFUNCTION("IMPORTRANGE(""https://docs.google.com/spreadsheets/d/1XL5vhW3sbDhbH9Cz0tuDiY8C3ctxq1tqvaCgkFb8cCA/edit?usp=sharing"",""หนองคาย!J377"")"),6542)</f>
        <v>6542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IFERROR(__xludf.DUMMYFUNCTION("IMPORTRANGE(""https://docs.google.com/spreadsheets/d/1XL5vhW3sbDhbH9Cz0tuDiY8C3ctxq1tqvaCgkFb8cCA/edit?usp=sharing"",""หนองคาย!J378"")"),37655.71)</f>
        <v>37655.71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IFERROR(__xludf.DUMMYFUNCTION("IMPORTRANGE(""https://docs.google.com/spreadsheets/d/1XL5vhW3sbDhbH9Cz0tuDiY8C3ctxq1tqvaCgkFb8cCA/edit?usp=sharing"",""หนองคาย!J379"")"),5163)</f>
        <v>5163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IFERROR(__xludf.DUMMYFUNCTION("IMPORTRANGE(""https://docs.google.com/spreadsheets/d/1XL5vhW3sbDhbH9Cz0tuDiY8C3ctxq1tqvaCgkFb8cCA/edit?usp=sharing"",""หนองคาย!J380"")"),13158.87)</f>
        <v>13158.87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IFERROR(__xludf.DUMMYFUNCTION("IMPORTRANGE(""https://docs.google.com/spreadsheets/d/1XL5vhW3sbDhbH9Cz0tuDiY8C3ctxq1tqvaCgkFb8cCA/edit?usp=sharing"",""หนองคาย!J381"")"),1193)</f>
        <v>1193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IFERROR(__xludf.DUMMYFUNCTION("IMPORTRANGE(""https://docs.google.com/spreadsheets/d/1XL5vhW3sbDhbH9Cz0tuDiY8C3ctxq1tqvaCgkFb8cCA/edit?usp=sharing"",""หนองคาย!J382"")"),2069.08)</f>
        <v>2069.08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IFERROR(__xludf.DUMMYFUNCTION("IMPORTRANGE(""https://docs.google.com/spreadsheets/d/1XL5vhW3sbDhbH9Cz0tuDiY8C3ctxq1tqvaCgkFb8cCA/edit?usp=sharing"",""หนองคาย!J383"")"),186)</f>
        <v>186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IFERROR(__xludf.DUMMYFUNCTION("IMPORTRANGE(""https://docs.google.com/spreadsheets/d/1XL5vhW3sbDhbH9Cz0tuDiY8C3ctxq1tqvaCgkFb8cCA/edit?usp=sharing"",""หนองคาย!J384"")"),1862.14)</f>
        <v>1862.14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IFERROR(__xludf.DUMMYFUNCTION("IMPORTRANGE(""https://docs.google.com/spreadsheets/d/1XL5vhW3sbDhbH9Cz0tuDiY8C3ctxq1tqvaCgkFb8cCA/edit?usp=sharing"",""หนองคาย!J385"")"),169)</f>
        <v>169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IFERROR(__xludf.DUMMYFUNCTION("IMPORTRANGE(""https://docs.google.com/spreadsheets/d/1XL5vhW3sbDhbH9Cz0tuDiY8C3ctxq1tqvaCgkFb8cCA/edit?usp=sharing"",""หนองคาย!J386"")"),206.94)</f>
        <v>206.94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IFERROR(__xludf.DUMMYFUNCTION("IMPORTRANGE(""https://docs.google.com/spreadsheets/d/1XL5vhW3sbDhbH9Cz0tuDiY8C3ctxq1tqvaCgkFb8cCA/edit?usp=sharing"",""หนองคาย!J387"")"),17)</f>
        <v>17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IFERROR(__xludf.DUMMYFUNCTION("IMPORTRANGE(""https://docs.google.com/spreadsheets/d/1XL5vhW3sbDhbH9Cz0tuDiY8C3ctxq1tqvaCgkFb8cCA/edit?usp=sharing"",""หนองคาย!J392"")"),6326)</f>
        <v>6326</v>
      </c>
      <c r="K497" s="444">
        <f t="shared" ca="1" si="117"/>
        <v>59.121495327102807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IFERROR(__xludf.DUMMYFUNCTION("IMPORTRANGE(""https://docs.google.com/spreadsheets/d/1XL5vhW3sbDhbH9Cz0tuDiY8C3ctxq1tqvaCgkFb8cCA/edit?usp=sharing"",""หนองคาย!J393"")"),6326)</f>
        <v>6326</v>
      </c>
      <c r="K498" s="163">
        <f t="shared" ca="1" si="117"/>
        <v>59.121495327102807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IFERROR(__xludf.DUMMYFUNCTION("IMPORTRANGE(""https://docs.google.com/spreadsheets/d/1XL5vhW3sbDhbH9Cz0tuDiY8C3ctxq1tqvaCgkFb8cCA/edit?usp=sharing"",""หนองคาย!J394"")"),468)</f>
        <v>468</v>
      </c>
      <c r="K499" s="202">
        <f t="shared" ca="1" si="117"/>
        <v>52.466367713004487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IFERROR(__xludf.DUMMYFUNCTION("IMPORTRANGE(""https://docs.google.com/spreadsheets/d/1XL5vhW3sbDhbH9Cz0tuDiY8C3ctxq1tqvaCgkFb8cCA/edit?usp=sharing"",""หนองคาย!J395"")"),5546)</f>
        <v>5546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IFERROR(__xludf.DUMMYFUNCTION("IMPORTRANGE(""https://docs.google.com/spreadsheets/d/1XL5vhW3sbDhbH9Cz0tuDiY8C3ctxq1tqvaCgkFb8cCA/edit?usp=sharing"",""หนองคาย!J396"")"),391)</f>
        <v>391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IFERROR(__xludf.DUMMYFUNCTION("IMPORTRANGE(""https://docs.google.com/spreadsheets/d/1XL5vhW3sbDhbH9Cz0tuDiY8C3ctxq1tqvaCgkFb8cCA/edit?usp=sharing"",""หนองคาย!J397"")"),5162)</f>
        <v>5162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IFERROR(__xludf.DUMMYFUNCTION("IMPORTRANGE(""https://docs.google.com/spreadsheets/d/1XL5vhW3sbDhbH9Cz0tuDiY8C3ctxq1tqvaCgkFb8cCA/edit?usp=sharing"",""หนองคาย!J398"")"),367)</f>
        <v>367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IFERROR(__xludf.DUMMYFUNCTION("IMPORTRANGE(""https://docs.google.com/spreadsheets/d/1XL5vhW3sbDhbH9Cz0tuDiY8C3ctxq1tqvaCgkFb8cCA/edit?usp=sharing"",""หนองคาย!J399"")"),192)</f>
        <v>192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IFERROR(__xludf.DUMMYFUNCTION("IMPORTRANGE(""https://docs.google.com/spreadsheets/d/1XL5vhW3sbDhbH9Cz0tuDiY8C3ctxq1tqvaCgkFb8cCA/edit?usp=sharing"",""หนองคาย!J400"")"),12)</f>
        <v>12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IFERROR(__xludf.DUMMYFUNCTION("IMPORTRANGE(""https://docs.google.com/spreadsheets/d/1XL5vhW3sbDhbH9Cz0tuDiY8C3ctxq1tqvaCgkFb8cCA/edit?usp=sharing"",""หนองคาย!J401"")"),192)</f>
        <v>192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IFERROR(__xludf.DUMMYFUNCTION("IMPORTRANGE(""https://docs.google.com/spreadsheets/d/1XL5vhW3sbDhbH9Cz0tuDiY8C3ctxq1tqvaCgkFb8cCA/edit?usp=sharing"",""หนองคาย!J402"")"),12)</f>
        <v>12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IFERROR(__xludf.DUMMYFUNCTION("IMPORTRANGE(""https://docs.google.com/spreadsheets/d/1XL5vhW3sbDhbH9Cz0tuDiY8C3ctxq1tqvaCgkFb8cCA/edit?usp=sharing"",""หนองคาย!J403"")"),442)</f>
        <v>442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IFERROR(__xludf.DUMMYFUNCTION("IMPORTRANGE(""https://docs.google.com/spreadsheets/d/1XL5vhW3sbDhbH9Cz0tuDiY8C3ctxq1tqvaCgkFb8cCA/edit?usp=sharing"",""หนองคาย!J404"")"),32)</f>
        <v>32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IFERROR(__xludf.DUMMYFUNCTION("IMPORTRANGE(""https://docs.google.com/spreadsheets/d/1XL5vhW3sbDhbH9Cz0tuDiY8C3ctxq1tqvaCgkFb8cCA/edit?usp=sharing"",""หนองคาย!J405"")"),59)</f>
        <v>59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IFERROR(__xludf.DUMMYFUNCTION("IMPORTRANGE(""https://docs.google.com/spreadsheets/d/1XL5vhW3sbDhbH9Cz0tuDiY8C3ctxq1tqvaCgkFb8cCA/edit?usp=sharing"",""หนองคาย!J407"")"),383)</f>
        <v>383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IFERROR(__xludf.DUMMYFUNCTION("IMPORTRANGE(""https://docs.google.com/spreadsheets/d/1XL5vhW3sbDhbH9Cz0tuDiY8C3ctxq1tqvaCgkFb8cCA/edit?usp=sharing"",""หนองคาย!J408"")"),28)</f>
        <v>28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IFERROR(__xludf.DUMMYFUNCTION("IMPORTRANGE(""https://docs.google.com/spreadsheets/d/1XL5vhW3sbDhbH9Cz0tuDiY8C3ctxq1tqvaCgkFb8cCA/edit?usp=sharing"",""หนองคาย!J409"")"),338)</f>
        <v>338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IFERROR(__xludf.DUMMYFUNCTION("IMPORTRANGE(""https://docs.google.com/spreadsheets/d/1XL5vhW3sbDhbH9Cz0tuDiY8C3ctxq1tqvaCgkFb8cCA/edit?usp=sharing"",""หนองคาย!J410"")"),45)</f>
        <v>45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IFERROR(__xludf.DUMMYFUNCTION("IMPORTRANGE(""https://docs.google.com/spreadsheets/d/1XL5vhW3sbDhbH9Cz0tuDiY8C3ctxq1tqvaCgkFb8cCA/edit?usp=sharing"",""หนองคาย!I411"")"),0)</f>
        <v>0</v>
      </c>
      <c r="J516" s="267">
        <f ca="1">IFERROR(__xludf.DUMMYFUNCTION("IMPORTRANGE(""https://docs.google.com/spreadsheets/d/1XL5vhW3sbDhbH9Cz0tuDiY8C3ctxq1tqvaCgkFb8cCA/edit?usp=sharing"",""หนองคาย!J411"")"),0)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IFERROR(__xludf.DUMMYFUNCTION("IMPORTRANGE(""https://docs.google.com/spreadsheets/d/1XL5vhW3sbDhbH9Cz0tuDiY8C3ctxq1tqvaCgkFb8cCA/edit?usp=sharing"",""หนองคาย!I412"")"),0)</f>
        <v>0</v>
      </c>
      <c r="J517" s="284">
        <f ca="1">IFERROR(__xludf.DUMMYFUNCTION("IMPORTRANGE(""https://docs.google.com/spreadsheets/d/1XL5vhW3sbDhbH9Cz0tuDiY8C3ctxq1tqvaCgkFb8cCA/edit?usp=sharing"",""หนองคาย!J412"")"),0)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IFERROR(__xludf.DUMMYFUNCTION("IMPORTRANGE(""https://docs.google.com/spreadsheets/d/1XL5vhW3sbDhbH9Cz0tuDiY8C3ctxq1tqvaCgkFb8cCA/edit?usp=sharing"",""หนองคาย!I413"")"),0)</f>
        <v>0</v>
      </c>
      <c r="J518" s="284">
        <f ca="1">IFERROR(__xludf.DUMMYFUNCTION("IMPORTRANGE(""https://docs.google.com/spreadsheets/d/1XL5vhW3sbDhbH9Cz0tuDiY8C3ctxq1tqvaCgkFb8cCA/edit?usp=sharing"",""หนองคาย!J413"")"),0)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IFERROR(__xludf.DUMMYFUNCTION("IMPORTRANGE(""https://docs.google.com/spreadsheets/d/1XL5vhW3sbDhbH9Cz0tuDiY8C3ctxq1tqvaCgkFb8cCA/edit?usp=sharing"",""หนองคาย!I420"")"),0)</f>
        <v>0</v>
      </c>
      <c r="J525" s="284">
        <f ca="1">IFERROR(__xludf.DUMMYFUNCTION("IMPORTRANGE(""https://docs.google.com/spreadsheets/d/1XL5vhW3sbDhbH9Cz0tuDiY8C3ctxq1tqvaCgkFb8cCA/edit?usp=sharing"",""หนองคาย!J420"")"),0)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IFERROR(__xludf.DUMMYFUNCTION("IMPORTRANGE(""https://docs.google.com/spreadsheets/d/1XL5vhW3sbDhbH9Cz0tuDiY8C3ctxq1tqvaCgkFb8cCA/edit?usp=sharing"",""หนองคาย!I421"")"),0)</f>
        <v>0</v>
      </c>
      <c r="J526" s="284">
        <f ca="1">IFERROR(__xludf.DUMMYFUNCTION("IMPORTRANGE(""https://docs.google.com/spreadsheets/d/1XL5vhW3sbDhbH9Cz0tuDiY8C3ctxq1tqvaCgkFb8cCA/edit?usp=sharing"",""หนองคาย!J421"")"),0)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IFERROR(__xludf.DUMMYFUNCTION("IMPORTRANGE(""https://docs.google.com/spreadsheets/d/1XL5vhW3sbDhbH9Cz0tuDiY8C3ctxq1tqvaCgkFb8cCA/edit?usp=sharing"",""หนองคาย!J459"")"),3972)</f>
        <v>3972</v>
      </c>
      <c r="K564" s="372">
        <f ca="1">IF(I564&gt;0,J564*100/I564,0)</f>
        <v>180.54545454545453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IFERROR(__xludf.DUMMYFUNCTION("IMPORTRANGE(""https://docs.google.com/spreadsheets/d/1XL5vhW3sbDhbH9Cz0tuDiY8C3ctxq1tqvaCgkFb8cCA/edit?usp=sharing"",""หนองคาย!M459"")"),114230)</f>
        <v>114230</v>
      </c>
      <c r="O564" s="373">
        <f t="shared" ref="O564:O568" ca="1" si="122">+IF(L564&gt;0,N564*100/L564,0)</f>
        <v>79.858780760626402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IFERROR(__xludf.DUMMYFUNCTION("IMPORTRANGE(""https://docs.google.com/spreadsheets/d/1XL5vhW3sbDhbH9Cz0tuDiY8C3ctxq1tqvaCgkFb8cCA/edit?usp=sharing"",""หนองคาย!M461"")"),114230)</f>
        <v>114230</v>
      </c>
      <c r="O566" s="169">
        <f t="shared" ca="1" si="122"/>
        <v>79.858780760626402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IFERROR(__xludf.DUMMYFUNCTION("IMPORTRANGE(""https://docs.google.com/spreadsheets/d/1XL5vhW3sbDhbH9Cz0tuDiY8C3ctxq1tqvaCgkFb8cCA/edit?usp=sharing"",""หนองคาย!M463"")"),114230)</f>
        <v>114230</v>
      </c>
      <c r="O568" s="169">
        <f t="shared" ca="1" si="122"/>
        <v>79.858780760626402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IFERROR(__xludf.DUMMYFUNCTION("IMPORTRANGE(""https://docs.google.com/spreadsheets/d/1XL5vhW3sbDhbH9Cz0tuDiY8C3ctxq1tqvaCgkFb8cCA/edit?usp=sharing"",""หนองคาย!M466"")"),73085.01)</f>
        <v>73085.009999999995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IFERROR(__xludf.DUMMYFUNCTION("IMPORTRANGE(""https://docs.google.com/spreadsheets/d/1XL5vhW3sbDhbH9Cz0tuDiY8C3ctxq1tqvaCgkFb8cCA/edit?usp=sharing"",""หนองคาย!M467"")"),41144.99)</f>
        <v>41144.99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IFERROR(__xludf.DUMMYFUNCTION("IMPORTRANGE(""https://docs.google.com/spreadsheets/d/1XL5vhW3sbDhbH9Cz0tuDiY8C3ctxq1tqvaCgkFb8cCA/edit?usp=sharing"",""หนองคาย!J468"")"),3972)</f>
        <v>3972</v>
      </c>
      <c r="K573" s="202">
        <f ca="1">IF(I573&gt;0,J573*100/I573,0)</f>
        <v>180.54545454545453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IFERROR(__xludf.DUMMYFUNCTION("IMPORTRANGE(""https://docs.google.com/spreadsheets/d/1XL5vhW3sbDhbH9Cz0tuDiY8C3ctxq1tqvaCgkFb8cCA/edit?usp=sharing"",""หนองคาย!J471"")"),10)</f>
        <v>10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IFERROR(__xludf.DUMMYFUNCTION("IMPORTRANGE(""https://docs.google.com/spreadsheets/d/1XL5vhW3sbDhbH9Cz0tuDiY8C3ctxq1tqvaCgkFb8cCA/edit?usp=sharing"",""หนองคาย!J472"")"),3961)</f>
        <v>3961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IFERROR(__xludf.DUMMYFUNCTION("IMPORTRANGE(""https://docs.google.com/spreadsheets/d/1XL5vhW3sbDhbH9Cz0tuDiY8C3ctxq1tqvaCgkFb8cCA/edit?usp=sharing"",""หนองคาย!M475"")"),5680)</f>
        <v>5680</v>
      </c>
      <c r="O580" s="373">
        <f t="shared" ref="O580:O584" ca="1" si="124">+IF(L580&gt;0,N580*100/L580,0)</f>
        <v>4.9089934834840028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IFERROR(__xludf.DUMMYFUNCTION("IMPORTRANGE(""https://docs.google.com/spreadsheets/d/1XL5vhW3sbDhbH9Cz0tuDiY8C3ctxq1tqvaCgkFb8cCA/edit?usp=sharing"",""หนองคาย!M477"")"),5680)</f>
        <v>5680</v>
      </c>
      <c r="O582" s="169">
        <f t="shared" ca="1" si="124"/>
        <v>4.9089934834840028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IFERROR(__xludf.DUMMYFUNCTION("IMPORTRANGE(""https://docs.google.com/spreadsheets/d/1XL5vhW3sbDhbH9Cz0tuDiY8C3ctxq1tqvaCgkFb8cCA/edit?usp=sharing"",""หนองคาย!M479"")"),5680)</f>
        <v>5680</v>
      </c>
      <c r="O584" s="169">
        <f t="shared" ca="1" si="124"/>
        <v>4.9089934834840028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IFERROR(__xludf.DUMMYFUNCTION("IMPORTRANGE(""https://docs.google.com/spreadsheets/d/1XL5vhW3sbDhbH9Cz0tuDiY8C3ctxq1tqvaCgkFb8cCA/edit?usp=sharing"",""หนองคาย!M483"")"),5680)</f>
        <v>5680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IFERROR(__xludf.DUMMYFUNCTION("IMPORTRANGE(""https://docs.google.com/spreadsheets/d/1XL5vhW3sbDhbH9Cz0tuDiY8C3ctxq1tqvaCgkFb8cCA/edit?usp=sharing"",""หนองคาย!J484"")"),11)</f>
        <v>11</v>
      </c>
      <c r="K589" s="163">
        <f t="shared" ref="K589:K596" ca="1" si="125">IF(I589&gt;0,J589*100/I589,0)</f>
        <v>183.33333333333334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IFERROR(__xludf.DUMMYFUNCTION("IMPORTRANGE(""https://docs.google.com/spreadsheets/d/1XL5vhW3sbDhbH9Cz0tuDiY8C3ctxq1tqvaCgkFb8cCA/edit?usp=sharing"",""หนองคาย!J485"")"),9.02)</f>
        <v>9.02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IFERROR(__xludf.DUMMYFUNCTION("IMPORTRANGE(""https://docs.google.com/spreadsheets/d/1XL5vhW3sbDhbH9Cz0tuDiY8C3ctxq1tqvaCgkFb8cCA/edit?usp=sharing"",""หนองคาย!I491"")"),0)</f>
        <v>0</v>
      </c>
      <c r="J596" s="241">
        <f ca="1">IFERROR(__xludf.DUMMYFUNCTION("IMPORTRANGE(""https://docs.google.com/spreadsheets/d/1XL5vhW3sbDhbH9Cz0tuDiY8C3ctxq1tqvaCgkFb8cCA/edit?usp=sharing"",""หนองคาย!J491"")"),0)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7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IFERROR(__xludf.DUMMYFUNCTION("IMPORTRANGE(""https://docs.google.com/spreadsheets/d/1XL5vhW3sbDhbH9Cz0tuDiY8C3ctxq1tqvaCgkFb8cCA/edit?usp=sharing"",""หนองคาย!M492"")"),2220)</f>
        <v>2220</v>
      </c>
      <c r="O597" s="412">
        <f t="shared" ref="O597:O601" ca="1" si="126">+IF(L597&gt;0,N597*100/L597,0)</f>
        <v>19.646017699115045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IFERROR(__xludf.DUMMYFUNCTION("IMPORTRANGE(""https://docs.google.com/spreadsheets/d/1XL5vhW3sbDhbH9Cz0tuDiY8C3ctxq1tqvaCgkFb8cCA/edit?usp=sharing"",""หนองคาย!M494"")"),2220)</f>
        <v>2220</v>
      </c>
      <c r="O599" s="169">
        <f t="shared" ca="1" si="126"/>
        <v>19.646017699115045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IFERROR(__xludf.DUMMYFUNCTION("IMPORTRANGE(""https://docs.google.com/spreadsheets/d/1XL5vhW3sbDhbH9Cz0tuDiY8C3ctxq1tqvaCgkFb8cCA/edit?usp=sharing"",""หนองคาย!M496"")"),2220)</f>
        <v>2220</v>
      </c>
      <c r="O601" s="169">
        <f t="shared" ca="1" si="126"/>
        <v>19.646017699115045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IFERROR(__xludf.DUMMYFUNCTION("IMPORTRANGE(""https://docs.google.com/spreadsheets/d/1XL5vhW3sbDhbH9Cz0tuDiY8C3ctxq1tqvaCgkFb8cCA/edit?usp=sharing"",""หนองคาย!M500"")"),2220)</f>
        <v>2220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IFERROR(__xludf.DUMMYFUNCTION("IMPORTRANGE(""https://docs.google.com/spreadsheets/d/1XL5vhW3sbDhbH9Cz0tuDiY8C3ctxq1tqvaCgkFb8cCA/edit?usp=sharing"",""หนองคาย!J166"")"),0)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IFERROR(__xludf.DUMMYFUNCTION("IMPORTRANGE(""https://docs.google.com/spreadsheets/d/1XL5vhW3sbDhbH9Cz0tuDiY8C3ctxq1tqvaCgkFb8cCA/edit?usp=sharing"",""หนองคาย!J166"")"),0)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IFERROR(__xludf.DUMMYFUNCTION("IMPORTRANGE(""https://docs.google.com/spreadsheets/d/1XL5vhW3sbDhbH9Cz0tuDiY8C3ctxq1tqvaCgkFb8cCA/edit?usp=sharing"",""หนองคาย!I523"")"),3580376.56)</f>
        <v>3580376.56</v>
      </c>
      <c r="J628" s="341">
        <f ca="1">IFERROR(__xludf.DUMMYFUNCTION("IMPORTRANGE(""https://docs.google.com/spreadsheets/d/1XL5vhW3sbDhbH9Cz0tuDiY8C3ctxq1tqvaCgkFb8cCA/edit?usp=sharing"",""หนองคาย!J523"")"),2919186.91)</f>
        <v>2919186.91</v>
      </c>
      <c r="K628" s="342">
        <f t="shared" ref="K628:K635" ca="1" si="129">IF(I628&gt;0,J628*100/I628,0)</f>
        <v>81.532957807097247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IFERROR(__xludf.DUMMYFUNCTION("IMPORTRANGE(""https://docs.google.com/spreadsheets/d/1XL5vhW3sbDhbH9Cz0tuDiY8C3ctxq1tqvaCgkFb8cCA/edit?usp=sharing"",""หนองคาย!I524"")"),357)</f>
        <v>357</v>
      </c>
      <c r="J629" s="341">
        <f ca="1">IFERROR(__xludf.DUMMYFUNCTION("IMPORTRANGE(""https://docs.google.com/spreadsheets/d/1XL5vhW3sbDhbH9Cz0tuDiY8C3ctxq1tqvaCgkFb8cCA/edit?usp=sharing"",""หนองคาย!J524"")"),294)</f>
        <v>294</v>
      </c>
      <c r="K629" s="342">
        <f t="shared" ca="1" si="129"/>
        <v>82.352941176470594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IFERROR(__xludf.DUMMYFUNCTION("IMPORTRANGE(""https://docs.google.com/spreadsheets/d/1XL5vhW3sbDhbH9Cz0tuDiY8C3ctxq1tqvaCgkFb8cCA/edit?usp=sharing"",""หนองคาย!I525"")"),550608.41)</f>
        <v>550608.41</v>
      </c>
      <c r="J630" s="341">
        <f ca="1">IFERROR(__xludf.DUMMYFUNCTION("IMPORTRANGE(""https://docs.google.com/spreadsheets/d/1XL5vhW3sbDhbH9Cz0tuDiY8C3ctxq1tqvaCgkFb8cCA/edit?usp=sharing"",""หนองคาย!J525"")"),206524.54)</f>
        <v>206524.54</v>
      </c>
      <c r="K630" s="342">
        <f t="shared" ca="1" si="129"/>
        <v>37.508424544405344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IFERROR(__xludf.DUMMYFUNCTION("IMPORTRANGE(""https://docs.google.com/spreadsheets/d/1XL5vhW3sbDhbH9Cz0tuDiY8C3ctxq1tqvaCgkFb8cCA/edit?usp=sharing"",""หนองคาย!I526"")"),39)</f>
        <v>39</v>
      </c>
      <c r="J631" s="341">
        <f ca="1">IFERROR(__xludf.DUMMYFUNCTION("IMPORTRANGE(""https://docs.google.com/spreadsheets/d/1XL5vhW3sbDhbH9Cz0tuDiY8C3ctxq1tqvaCgkFb8cCA/edit?usp=sharing"",""หนองคาย!J526"")"),29)</f>
        <v>29</v>
      </c>
      <c r="K631" s="342">
        <f t="shared" ca="1" si="129"/>
        <v>74.358974358974365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1">
        <f ca="1">IFERROR(__xludf.DUMMYFUNCTION("IMPORTRANGE(""https://docs.google.com/spreadsheets/d/1XL5vhW3sbDhbH9Cz0tuDiY8C3ctxq1tqvaCgkFb8cCA/edit?usp=sharing"",""หนองคาย!J527"")"),460016.76)</f>
        <v>460016.76</v>
      </c>
      <c r="K632" s="342">
        <f t="shared" ca="1" si="129"/>
        <v>76.199379676825359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IFERROR(__xludf.DUMMYFUNCTION("IMPORTRANGE(""https://docs.google.com/spreadsheets/d/1XL5vhW3sbDhbH9Cz0tuDiY8C3ctxq1tqvaCgkFb8cCA/edit?usp=sharing"",""หนองคาย!I528"")"),83)</f>
        <v>83</v>
      </c>
      <c r="J633" s="341">
        <f ca="1">IFERROR(__xludf.DUMMYFUNCTION("IMPORTRANGE(""https://docs.google.com/spreadsheets/d/1XL5vhW3sbDhbH9Cz0tuDiY8C3ctxq1tqvaCgkFb8cCA/edit?usp=sharing"",""หนองคาย!J528"")"),85)</f>
        <v>85</v>
      </c>
      <c r="K633" s="342">
        <f t="shared" ca="1" si="129"/>
        <v>102.40963855421687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IFERROR(__xludf.DUMMYFUNCTION("IMPORTRANGE(""https://docs.google.com/spreadsheets/d/1XL5vhW3sbDhbH9Cz0tuDiY8C3ctxq1tqvaCgkFb8cCA/edit?usp=sharing"",""หนองคาย!I529"")"),5100000)</f>
        <v>5100000</v>
      </c>
      <c r="J634" s="341">
        <f ca="1">IFERROR(__xludf.DUMMYFUNCTION("IMPORTRANGE(""https://docs.google.com/spreadsheets/d/1XL5vhW3sbDhbH9Cz0tuDiY8C3ctxq1tqvaCgkFb8cCA/edit?usp=sharing"",""หนองคาย!J529"")"),1800000)</f>
        <v>1800000</v>
      </c>
      <c r="K634" s="342">
        <f t="shared" ca="1" si="129"/>
        <v>35.294117647058826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IFERROR(__xludf.DUMMYFUNCTION("IMPORTRANGE(""https://docs.google.com/spreadsheets/d/1XL5vhW3sbDhbH9Cz0tuDiY8C3ctxq1tqvaCgkFb8cCA/edit?usp=sharing"",""หนองคาย!I530"")"),111)</f>
        <v>111</v>
      </c>
      <c r="J635" s="504">
        <f ca="1">IFERROR(__xludf.DUMMYFUNCTION("IMPORTRANGE(""https://docs.google.com/spreadsheets/d/1XL5vhW3sbDhbH9Cz0tuDiY8C3ctxq1tqvaCgkFb8cCA/edit?usp=sharing"",""หนองคาย!J530"")"),45)</f>
        <v>45</v>
      </c>
      <c r="K635" s="486">
        <f t="shared" ca="1" si="129"/>
        <v>40.54054054054054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1080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1080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1080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IFERROR(__xludf.DUMMYFUNCTION("IMPORTRANGE(""https://docs.google.com/spreadsheets/d/1XL5vhW3sbDhbH9Cz0tuDiY8C3ctxq1tqvaCgkFb8cCA/edit#gid=346597447"",""หนองคาย!J541"")"),0)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IFERROR(__xludf.DUMMYFUNCTION("IMPORTRANGE(""https://docs.google.com/spreadsheets/d/1XL5vhW3sbDhbH9Cz0tuDiY8C3ctxq1tqvaCgkFb8cCA/edit#gid=346597447"",""หนองคาย!J542"")"),0)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IFERROR(__xludf.DUMMYFUNCTION("IMPORTRANGE(""https://docs.google.com/spreadsheets/d/1XL5vhW3sbDhbH9Cz0tuDiY8C3ctxq1tqvaCgkFb8cCA/edit#gid=346597447"",""หนองคาย!I543"")"),0)</f>
        <v>0</v>
      </c>
      <c r="J648" s="585">
        <f ca="1">IFERROR(__xludf.DUMMYFUNCTION("IMPORTRANGE(""https://docs.google.com/spreadsheets/d/1XL5vhW3sbDhbH9Cz0tuDiY8C3ctxq1tqvaCgkFb8cCA/edit#gid=346597447"",""หนองคาย!J543"")"),0)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IFERROR(__xludf.DUMMYFUNCTION("IMPORTRANGE(""https://docs.google.com/spreadsheets/d/1XL5vhW3sbDhbH9Cz0tuDiY8C3ctxq1tqvaCgkFb8cCA/edit#gid=346597447"",""หนองคาย!L543"")"),0)</f>
        <v>0</v>
      </c>
      <c r="M648" s="570"/>
      <c r="N648" s="587">
        <f ca="1">IFERROR(__xludf.DUMMYFUNCTION("IMPORTRANGE(""https://docs.google.com/spreadsheets/d/1XL5vhW3sbDhbH9Cz0tuDiY8C3ctxq1tqvaCgkFb8cCA/edit#gid=346597447"",""หนองคาย!M543"")"),0)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IFERROR(__xludf.DUMMYFUNCTION("IMPORTRANGE(""https://docs.google.com/spreadsheets/d/1XL5vhW3sbDhbH9Cz0tuDiY8C3ctxq1tqvaCgkFb8cCA/edit#gid=346597447"",""หนองคาย!I544"")"),4)</f>
        <v>4</v>
      </c>
      <c r="J649" s="585">
        <f ca="1">IFERROR(__xludf.DUMMYFUNCTION("IMPORTRANGE(""https://docs.google.com/spreadsheets/d/1XL5vhW3sbDhbH9Cz0tuDiY8C3ctxq1tqvaCgkFb8cCA/edit#gid=346597447"",""หนองคาย!J544"")"),0)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IFERROR(__xludf.DUMMYFUNCTION("IMPORTRANGE(""https://docs.google.com/spreadsheets/d/1XL5vhW3sbDhbH9Cz0tuDiY8C3ctxq1tqvaCgkFb8cCA/edit#gid=346597447"",""หนองคาย!L544"")"),480)</f>
        <v>480</v>
      </c>
      <c r="M649" s="570"/>
      <c r="N649" s="587">
        <f ca="1">IFERROR(__xludf.DUMMYFUNCTION("IMPORTRANGE(""https://docs.google.com/spreadsheets/d/1XL5vhW3sbDhbH9Cz0tuDiY8C3ctxq1tqvaCgkFb8cCA/edit#gid=346597447"",""หนองคาย!M544"")"),0)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IFERROR(__xludf.DUMMYFUNCTION("IMPORTRANGE(""https://docs.google.com/spreadsheets/d/1XL5vhW3sbDhbH9Cz0tuDiY8C3ctxq1tqvaCgkFb8cCA/edit#gid=346597447"",""หนองคาย!I545"")"),0)</f>
        <v>0</v>
      </c>
      <c r="J650" s="585">
        <f ca="1">IFERROR(__xludf.DUMMYFUNCTION("IMPORTRANGE(""https://docs.google.com/spreadsheets/d/1XL5vhW3sbDhbH9Cz0tuDiY8C3ctxq1tqvaCgkFb8cCA/edit#gid=346597447"",""หนองคาย!J545"")"),0)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IFERROR(__xludf.DUMMYFUNCTION("IMPORTRANGE(""https://docs.google.com/spreadsheets/d/1XL5vhW3sbDhbH9Cz0tuDiY8C3ctxq1tqvaCgkFb8cCA/edit#gid=346597447"",""หนองคาย!L545"")"),0)</f>
        <v>0</v>
      </c>
      <c r="M650" s="570"/>
      <c r="N650" s="587">
        <f ca="1">IFERROR(__xludf.DUMMYFUNCTION("IMPORTRANGE(""https://docs.google.com/spreadsheets/d/1XL5vhW3sbDhbH9Cz0tuDiY8C3ctxq1tqvaCgkFb8cCA/edit#gid=346597447"",""หนองคาย!M545"")"),0)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IFERROR(__xludf.DUMMYFUNCTION("IMPORTRANGE(""https://docs.google.com/spreadsheets/d/1XL5vhW3sbDhbH9Cz0tuDiY8C3ctxq1tqvaCgkFb8cCA/edit#gid=346597447"",""หนองคาย!I546"")"),24)</f>
        <v>24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IFERROR(__xludf.DUMMYFUNCTION("IMPORTRANGE(""https://docs.google.com/spreadsheets/d/1XL5vhW3sbDhbH9Cz0tuDiY8C3ctxq1tqvaCgkFb8cCA/edit#gid=346597447"",""หนองคาย!L546"")"),600)</f>
        <v>600</v>
      </c>
      <c r="M651" s="570"/>
      <c r="N651" s="587">
        <f ca="1">IFERROR(__xludf.DUMMYFUNCTION("IMPORTRANGE(""https://docs.google.com/spreadsheets/d/1XL5vhW3sbDhbH9Cz0tuDiY8C3ctxq1tqvaCgkFb8cCA/edit#gid=346597447"",""หนองคาย!M546"")"),0)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IFERROR(__xludf.DUMMYFUNCTION("IMPORTRANGE(""https://docs.google.com/spreadsheets/d/1XL5vhW3sbDhbH9Cz0tuDiY8C3ctxq1tqvaCgkFb8cCA/edit#gid=346597447"",""หนองคาย!J547"")"),0)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IFERROR(__xludf.DUMMYFUNCTION("IMPORTRANGE(""https://docs.google.com/spreadsheets/d/1XL5vhW3sbDhbH9Cz0tuDiY8C3ctxq1tqvaCgkFb8cCA/edit#gid=346597447"",""หนองคาย!J548"")"),0)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IFERROR(__xludf.DUMMYFUNCTION("IMPORTRANGE(""https://docs.google.com/spreadsheets/d/1XL5vhW3sbDhbH9Cz0tuDiY8C3ctxq1tqvaCgkFb8cCA/edit#gid=346597447"",""หนองคาย!J550"")"),0)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IFERROR(__xludf.DUMMYFUNCTION("IMPORTRANGE(""https://docs.google.com/spreadsheets/d/1XL5vhW3sbDhbH9Cz0tuDiY8C3ctxq1tqvaCgkFb8cCA/edit#gid=346597447"",""หนองคาย!J551"")"),0)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IFERROR(__xludf.DUMMYFUNCTION("IMPORTRANGE(""https://docs.google.com/spreadsheets/d/1XL5vhW3sbDhbH9Cz0tuDiY8C3ctxq1tqvaCgkFb8cCA/edit#gid=346597447"",""หนองคาย!J552"")"),0)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IFERROR(__xludf.DUMMYFUNCTION("IMPORTRANGE(""https://docs.google.com/spreadsheets/d/1XL5vhW3sbDhbH9Cz0tuDiY8C3ctxq1tqvaCgkFb8cCA/edit#gid=346597447"",""หนองคาย!J553"")"),0)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IFERROR(__xludf.DUMMYFUNCTION("IMPORTRANGE(""https://docs.google.com/spreadsheets/d/1XL5vhW3sbDhbH9Cz0tuDiY8C3ctxq1tqvaCgkFb8cCA/edit#gid=346597447"",""หนองคาย!J554"")"),0)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IFERROR(__xludf.DUMMYFUNCTION("IMPORTRANGE(""https://docs.google.com/spreadsheets/d/1XL5vhW3sbDhbH9Cz0tuDiY8C3ctxq1tqvaCgkFb8cCA/edit#gid=346597447"",""หนองคาย!J555"")"),0)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IFERROR(__xludf.DUMMYFUNCTION("IMPORTRANGE(""https://docs.google.com/spreadsheets/d/1XL5vhW3sbDhbH9Cz0tuDiY8C3ctxq1tqvaCgkFb8cCA/edit#gid=346597447"",""หนองคาย!J556"")"),0)</f>
        <v>0</v>
      </c>
      <c r="K661" s="586"/>
      <c r="L661" s="571">
        <f ca="1">IFERROR(__xludf.DUMMYFUNCTION("IMPORTRANGE(""https://docs.google.com/spreadsheets/d/1XL5vhW3sbDhbH9Cz0tuDiY8C3ctxq1tqvaCgkFb8cCA/edit#gid=346597447"",""หนองคาย!L556"")"),0)</f>
        <v>0</v>
      </c>
      <c r="M661" s="570"/>
      <c r="N661" s="587">
        <f ca="1">IFERROR(__xludf.DUMMYFUNCTION("IMPORTRANGE(""https://docs.google.com/spreadsheets/d/1XL5vhW3sbDhbH9Cz0tuDiY8C3ctxq1tqvaCgkFb8cCA/edit#gid=346597447"",""หนองคาย!M556"")"),0)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IFERROR(__xludf.DUMMYFUNCTION("IMPORTRANGE(""https://docs.google.com/spreadsheets/d/1XL5vhW3sbDhbH9Cz0tuDiY8C3ctxq1tqvaCgkFb8cCA/edit#gid=346597447"",""หนองคาย!J557"")"),0)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IFERROR(__xludf.DUMMYFUNCTION("IMPORTRANGE(""https://docs.google.com/spreadsheets/d/1XL5vhW3sbDhbH9Cz0tuDiY8C3ctxq1tqvaCgkFb8cCA/edit#gid=346597447"",""หนองคาย!I558"")"),0)</f>
        <v>0</v>
      </c>
      <c r="J663" s="585">
        <f ca="1">IFERROR(__xludf.DUMMYFUNCTION("IMPORTRANGE(""https://docs.google.com/spreadsheets/d/1XL5vhW3sbDhbH9Cz0tuDiY8C3ctxq1tqvaCgkFb8cCA/edit#gid=346597447"",""หนองคาย!J558"")"),0)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IFERROR(__xludf.DUMMYFUNCTION("IMPORTRANGE(""https://docs.google.com/spreadsheets/d/1XL5vhW3sbDhbH9Cz0tuDiY8C3ctxq1tqvaCgkFb8cCA/edit#gid=346597447"",""หนองคาย!I560"")"),0)</f>
        <v>0</v>
      </c>
      <c r="J665" s="585">
        <f ca="1">IFERROR(__xludf.DUMMYFUNCTION("IMPORTRANGE(""https://docs.google.com/spreadsheets/d/1XL5vhW3sbDhbH9Cz0tuDiY8C3ctxq1tqvaCgkFb8cCA/edit#gid=346597447"",""หนองคาย!J560"")"),0)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IFERROR(__xludf.DUMMYFUNCTION("IMPORTRANGE(""https://docs.google.com/spreadsheets/d/1XL5vhW3sbDhbH9Cz0tuDiY8C3ctxq1tqvaCgkFb8cCA/edit#gid=346597447"",""หนองคาย!L560"")"),0)</f>
        <v>0</v>
      </c>
      <c r="M665" s="570"/>
      <c r="N665" s="587">
        <f ca="1">IFERROR(__xludf.DUMMYFUNCTION("IMPORTRANGE(""https://docs.google.com/spreadsheets/d/1XL5vhW3sbDhbH9Cz0tuDiY8C3ctxq1tqvaCgkFb8cCA/edit#gid=346597447"",""หนองคาย!M560"")"),0)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IFERROR(__xludf.DUMMYFUNCTION("IMPORTRANGE(""https://docs.google.com/spreadsheets/d/1XL5vhW3sbDhbH9Cz0tuDiY8C3ctxq1tqvaCgkFb8cCA/edit#gid=346597447"",""หนองคาย!J561"")"),0)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IFERROR(__xludf.DUMMYFUNCTION("IMPORTRANGE(""https://docs.google.com/spreadsheets/d/1XL5vhW3sbDhbH9Cz0tuDiY8C3ctxq1tqvaCgkFb8cCA/edit#gid=346597447"",""หนองคาย!J562"")"),0)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IFERROR(__xludf.DUMMYFUNCTION("IMPORTRANGE(""https://docs.google.com/spreadsheets/d/1XL5vhW3sbDhbH9Cz0tuDiY8C3ctxq1tqvaCgkFb8cCA/edit#gid=346597447"",""หนองคาย!I563"")"),0)</f>
        <v>0</v>
      </c>
      <c r="J668" s="585">
        <f ca="1">IFERROR(__xludf.DUMMYFUNCTION("IMPORTRANGE(""https://docs.google.com/spreadsheets/d/1XL5vhW3sbDhbH9Cz0tuDiY8C3ctxq1tqvaCgkFb8cCA/edit#gid=346597447"",""หนองคาย!J563"")"),0)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IFERROR(__xludf.DUMMYFUNCTION("IMPORTRANGE(""https://docs.google.com/spreadsheets/d/1XL5vhW3sbDhbH9Cz0tuDiY8C3ctxq1tqvaCgkFb8cCA/edit#gid=346597447"",""หนองคาย!L563"")"),0)</f>
        <v>0</v>
      </c>
      <c r="M668" s="570"/>
      <c r="N668" s="587">
        <f ca="1">IFERROR(__xludf.DUMMYFUNCTION("IMPORTRANGE(""https://docs.google.com/spreadsheets/d/1XL5vhW3sbDhbH9Cz0tuDiY8C3ctxq1tqvaCgkFb8cCA/edit#gid=346597447"",""หนองคาย!M563"")"),0)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IFERROR(__xludf.DUMMYFUNCTION("IMPORTRANGE(""https://docs.google.com/spreadsheets/d/1XL5vhW3sbDhbH9Cz0tuDiY8C3ctxq1tqvaCgkFb8cCA/edit#gid=346597447"",""หนองคาย!J564"")"),0)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IFERROR(__xludf.DUMMYFUNCTION("IMPORTRANGE(""https://docs.google.com/spreadsheets/d/1XL5vhW3sbDhbH9Cz0tuDiY8C3ctxq1tqvaCgkFb8cCA/edit#gid=346597447"",""หนองคาย!J565"")"),0)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IFERROR(__xludf.DUMMYFUNCTION("IMPORTRANGE(""https://docs.google.com/spreadsheets/d/1XL5vhW3sbDhbH9Cz0tuDiY8C3ctxq1tqvaCgkFb8cCA/edit#gid=346597447"",""หนองคาย!I566"")"),0)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IFERROR(__xludf.DUMMYFUNCTION("IMPORTRANGE(""https://docs.google.com/spreadsheets/d/1XL5vhW3sbDhbH9Cz0tuDiY8C3ctxq1tqvaCgkFb8cCA/edit#gid=346597447"",""หนองคาย!L566"")"),0)</f>
        <v>0</v>
      </c>
      <c r="M671" s="570"/>
      <c r="N671" s="587">
        <f ca="1">IFERROR(__xludf.DUMMYFUNCTION("IMPORTRANGE(""https://docs.google.com/spreadsheets/d/1XL5vhW3sbDhbH9Cz0tuDiY8C3ctxq1tqvaCgkFb8cCA/edit#gid=346597447"",""หนองคาย!M566"")"),0)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IFERROR(__xludf.DUMMYFUNCTION("IMPORTRANGE(""https://docs.google.com/spreadsheets/d/1XL5vhW3sbDhbH9Cz0tuDiY8C3ctxq1tqvaCgkFb8cCA/edit#gid=346597447"",""หนองคาย!J567"")"),0)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IFERROR(__xludf.DUMMYFUNCTION("IMPORTRANGE(""https://docs.google.com/spreadsheets/d/1XL5vhW3sbDhbH9Cz0tuDiY8C3ctxq1tqvaCgkFb8cCA/edit#gid=346597447"",""หนองคาย!J568"")"),0)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IFERROR(__xludf.DUMMYFUNCTION("IMPORTRANGE(""https://docs.google.com/spreadsheets/d/1XL5vhW3sbDhbH9Cz0tuDiY8C3ctxq1tqvaCgkFb8cCA/edit#gid=346597447"",""หนองคาย!J569"")"),0)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IFERROR(__xludf.DUMMYFUNCTION("IMPORTRANGE(""https://docs.google.com/spreadsheets/d/1XL5vhW3sbDhbH9Cz0tuDiY8C3ctxq1tqvaCgkFb8cCA/edit#gid=346597447"",""หนองคาย!J570"")"),0)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IFERROR(__xludf.DUMMYFUNCTION("IMPORTRANGE(""https://docs.google.com/spreadsheets/d/1XL5vhW3sbDhbH9Cz0tuDiY8C3ctxq1tqvaCgkFb8cCA/edit#gid=346597447"",""หนองคาย!J571"")"),0)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IFERROR(__xludf.DUMMYFUNCTION("IMPORTRANGE(""https://docs.google.com/spreadsheets/d/1XL5vhW3sbDhbH9Cz0tuDiY8C3ctxq1tqvaCgkFb8cCA/edit#gid=346597447"",""หนองคาย!J572"")"),0)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2851562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7866341</v>
      </c>
      <c r="M8" s="23">
        <f t="shared" ca="1" si="0"/>
        <v>3898706</v>
      </c>
      <c r="N8" s="23">
        <f t="shared" ca="1" si="0"/>
        <v>4521273.49</v>
      </c>
      <c r="O8" s="22">
        <f t="shared" ref="O8:O16" ca="1" si="1">IF(L8&gt;0,N8*100/L8,0)</f>
        <v>57.476194967901847</v>
      </c>
      <c r="P8" s="22">
        <f t="shared" ref="P8:P16" ca="1" si="2">IF(M8&gt;0,N8*100/M8,0)</f>
        <v>115.96856726308678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7866341</v>
      </c>
      <c r="M10" s="30">
        <f t="shared" ca="1" si="4"/>
        <v>3898706</v>
      </c>
      <c r="N10" s="30">
        <f t="shared" ca="1" si="4"/>
        <v>4521273.49</v>
      </c>
      <c r="O10" s="29">
        <f t="shared" ca="1" si="1"/>
        <v>57.476194967901847</v>
      </c>
      <c r="P10" s="29">
        <f t="shared" ca="1" si="2"/>
        <v>115.96856726308678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6847241</v>
      </c>
      <c r="M12" s="38">
        <f t="shared" ca="1" si="6"/>
        <v>2879606</v>
      </c>
      <c r="N12" s="38">
        <f t="shared" ca="1" si="6"/>
        <v>3502173.49</v>
      </c>
      <c r="O12" s="38">
        <f t="shared" ca="1" si="1"/>
        <v>51.147221048594609</v>
      </c>
      <c r="P12" s="38">
        <f t="shared" ca="1" si="2"/>
        <v>121.61988445641522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4960241</v>
      </c>
      <c r="M14" s="38">
        <f t="shared" si="8"/>
        <v>0</v>
      </c>
      <c r="N14" s="38">
        <f t="shared" ca="1" si="8"/>
        <v>1415374.3</v>
      </c>
      <c r="O14" s="38">
        <f t="shared" ca="1" si="1"/>
        <v>28.534385728435371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1019100</v>
      </c>
      <c r="M16" s="38">
        <f t="shared" ca="1" si="10"/>
        <v>1019100</v>
      </c>
      <c r="N16" s="38">
        <f t="shared" ca="1" si="10"/>
        <v>1019100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4404805</v>
      </c>
      <c r="M18" s="23">
        <f t="shared" ca="1" si="11"/>
        <v>3898706</v>
      </c>
      <c r="N18" s="23">
        <f t="shared" ca="1" si="11"/>
        <v>3105899.19</v>
      </c>
      <c r="O18" s="22">
        <f t="shared" ref="O18:O20" ca="1" si="12">IF(L18&gt;0,N18*100/L18,0)</f>
        <v>70.51161606472931</v>
      </c>
      <c r="P18" s="22">
        <f t="shared" ref="P18:P26" ca="1" si="13">IF(M18&gt;0,N18*100/M18,0)</f>
        <v>79.664873165609308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4404805</v>
      </c>
      <c r="M20" s="30">
        <f t="shared" ca="1" si="15"/>
        <v>3898706</v>
      </c>
      <c r="N20" s="30">
        <f t="shared" ca="1" si="15"/>
        <v>3105899.19</v>
      </c>
      <c r="O20" s="29">
        <f t="shared" ca="1" si="12"/>
        <v>70.51161606472931</v>
      </c>
      <c r="P20" s="29">
        <f t="shared" ca="1" si="13"/>
        <v>79.664873165609308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3385705</v>
      </c>
      <c r="M22" s="41">
        <f t="shared" ca="1" si="18"/>
        <v>2879606</v>
      </c>
      <c r="N22" s="38">
        <f t="shared" ca="1" si="18"/>
        <v>2086799.19</v>
      </c>
      <c r="O22" s="38">
        <f t="shared" ca="1" si="17"/>
        <v>61.635588156676377</v>
      </c>
      <c r="P22" s="38">
        <f t="shared" ca="1" si="13"/>
        <v>72.468219263329772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1498705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1019100</v>
      </c>
      <c r="M26" s="49">
        <f t="shared" ca="1" si="22"/>
        <v>1019100</v>
      </c>
      <c r="N26" s="49">
        <f t="shared" ca="1" si="22"/>
        <v>1019100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3461536</v>
      </c>
      <c r="M28" s="23">
        <f t="shared" si="23"/>
        <v>0</v>
      </c>
      <c r="N28" s="23">
        <f t="shared" ca="1" si="23"/>
        <v>1415374.3</v>
      </c>
      <c r="O28" s="22">
        <f t="shared" ref="O28:O30" ca="1" si="24">IF(L28&gt;0,N28*100/L28,0)</f>
        <v>40.888619965240864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3461536</v>
      </c>
      <c r="M30" s="30">
        <f t="shared" si="27"/>
        <v>0</v>
      </c>
      <c r="N30" s="30">
        <f t="shared" ca="1" si="27"/>
        <v>1415374.3</v>
      </c>
      <c r="O30" s="29">
        <f t="shared" ca="1" si="24"/>
        <v>40.888619965240864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3461536</v>
      </c>
      <c r="M32" s="38">
        <f t="shared" si="30"/>
        <v>0</v>
      </c>
      <c r="N32" s="38">
        <f t="shared" ca="1" si="30"/>
        <v>1415374.3</v>
      </c>
      <c r="O32" s="38">
        <f t="shared" ca="1" si="29"/>
        <v>40.888619965240864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3461536</v>
      </c>
      <c r="M34" s="38">
        <f t="shared" si="32"/>
        <v>0</v>
      </c>
      <c r="N34" s="38">
        <f t="shared" ca="1" si="32"/>
        <v>1415374.3</v>
      </c>
      <c r="O34" s="38">
        <f t="shared" ca="1" si="29"/>
        <v>40.888619965240864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4404805</v>
      </c>
      <c r="M37" s="54">
        <f t="shared" ca="1" si="33"/>
        <v>3898706</v>
      </c>
      <c r="N37" s="54">
        <f t="shared" ca="1" si="33"/>
        <v>3105899.19</v>
      </c>
      <c r="O37" s="55">
        <f t="shared" ca="1" si="29"/>
        <v>70.51161606472931</v>
      </c>
      <c r="P37" s="55">
        <f t="shared" ca="1" si="25"/>
        <v>79.664873165609308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1457000</v>
      </c>
      <c r="N41" s="78">
        <f t="shared" ca="1" si="34"/>
        <v>1299577.23</v>
      </c>
      <c r="O41" s="77">
        <f t="shared" ref="O41:O43" ca="1" si="35">IF(L41&gt;0,N41*100/L41,0)</f>
        <v>80.255494966961038</v>
      </c>
      <c r="P41" s="77">
        <f t="shared" ref="P41:P43" ca="1" si="36">IF(M41&gt;0,N41*100/M41,0)</f>
        <v>89.195417295813314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1457000</v>
      </c>
      <c r="N43" s="78">
        <f t="shared" ca="1" si="38"/>
        <v>1299577.23</v>
      </c>
      <c r="O43" s="77">
        <f t="shared" ca="1" si="35"/>
        <v>80.255494966961038</v>
      </c>
      <c r="P43" s="77">
        <f t="shared" ca="1" si="36"/>
        <v>89.195417295813314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622">
        <f ca="1">IFERROR(__xludf.DUMMYFUNCTION("IMPORTRANGE(""https://docs.google.com/spreadsheets/d/1Yj_ptqi66GCucihVvJfMjLAmec39IyEx_6qawtMGysU/edit?usp=sharing"",""สบก!Q54"")"),486800)</f>
        <v>486800</v>
      </c>
      <c r="N45" s="622">
        <f ca="1">IFERROR(__xludf.DUMMYFUNCTION("IMPORTRANGE(""https://docs.google.com/spreadsheets/d/1Yj_ptqi66GCucihVvJfMjLAmec39IyEx_6qawtMGysU/edit?usp=sharing"",""สบก!R54"")"),329377.23)</f>
        <v>329377.23</v>
      </c>
      <c r="O45" s="623">
        <f ca="1">IF(L45&gt;0,N45*100/L45,0)</f>
        <v>50.743680480665539</v>
      </c>
      <c r="P45" s="623">
        <f ca="1">IF(M45&gt;0,N45*100/M45,0)</f>
        <v>67.661715283483971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IFERROR(__xludf.DUMMYFUNCTION("IMPORTRANGE(""https://docs.google.com/spreadsheets/d/1Yj_ptqi66GCucihVvJfMjLAmec39IyEx_6qawtMGysU/edit?usp=sharing"",""สบก!M54"")"),649100)</f>
        <v>649100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IFERROR(__xludf.DUMMYFUNCTION("IMPORTRANGE(""https://docs.google.com/spreadsheets/d/1Yj_ptqi66GCucihVvJfMjLAmec39IyEx_6qawtMGysU/edit?usp=sharing"",""สบก!N54"")"),0)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IFERROR(__xludf.DUMMYFUNCTION("IMPORTRANGE(""https://docs.google.com/spreadsheets/d/1Yj_ptqi66GCucihVvJfMjLAmec39IyEx_6qawtMGysU/edit?usp=sharing"",""สบก!O54"")"),970200)</f>
        <v>970200</v>
      </c>
      <c r="M49" s="625">
        <f ca="1">L49</f>
        <v>970200</v>
      </c>
      <c r="N49" s="622">
        <f ca="1">IFERROR(__xludf.DUMMYFUNCTION("IMPORTRANGE(""https://docs.google.com/spreadsheets/d/1Yj_ptqi66GCucihVvJfMjLAmec39IyEx_6qawtMGysU/edit?usp=sharing"",""สบก!S54"")"),970200)</f>
        <v>970200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604800</v>
      </c>
      <c r="M53" s="121">
        <f t="shared" ca="1" si="39"/>
        <v>474536</v>
      </c>
      <c r="N53" s="121">
        <f t="shared" ca="1" si="39"/>
        <v>467656</v>
      </c>
      <c r="O53" s="120">
        <f t="shared" ref="O53:O55" ca="1" si="40">IF(L53&gt;0,N53*100/L53,0)</f>
        <v>77.324074074074076</v>
      </c>
      <c r="P53" s="120">
        <f t="shared" ref="P53:P55" ca="1" si="41">IF(M53&gt;0,N53*100/M53,0)</f>
        <v>98.550162685233573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604800</v>
      </c>
      <c r="M55" s="121">
        <f t="shared" ca="1" si="43"/>
        <v>474536</v>
      </c>
      <c r="N55" s="121">
        <f t="shared" ca="1" si="43"/>
        <v>467656</v>
      </c>
      <c r="O55" s="120">
        <f t="shared" ca="1" si="40"/>
        <v>77.324074074074076</v>
      </c>
      <c r="P55" s="120">
        <f t="shared" ca="1" si="41"/>
        <v>98.550162685233573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604800</v>
      </c>
      <c r="M57" s="622">
        <f ca="1">IFERROR(__xludf.DUMMYFUNCTION("IMPORTRANGE(""https://docs.google.com/spreadsheets/d/1Yj_ptqi66GCucihVvJfMjLAmec39IyEx_6qawtMGysU/edit?usp=sharing"",""สบก!Z54"")"),474536)</f>
        <v>474536</v>
      </c>
      <c r="N57" s="622">
        <f ca="1">IFERROR(__xludf.DUMMYFUNCTION("IMPORTRANGE(""https://docs.google.com/spreadsheets/d/1Yj_ptqi66GCucihVvJfMjLAmec39IyEx_6qawtMGysU/edit?usp=sharing"",""สบก!AA54"")"),467656)</f>
        <v>467656</v>
      </c>
      <c r="O57" s="623">
        <f ca="1">IF(L57&gt;0,N57*100/L57,0)</f>
        <v>77.324074074074076</v>
      </c>
      <c r="P57" s="623">
        <f ca="1">IF(M57&gt;0,N57*100/M57,0)</f>
        <v>98.550162685233573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IFERROR(__xludf.DUMMYFUNCTION("IMPORTRANGE(""https://docs.google.com/spreadsheets/d/1Yj_ptqi66GCucihVvJfMjLAmec39IyEx_6qawtMGysU/edit?usp=sharing"",""สบก!V54"")"),604800)</f>
        <v>604800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IFERROR(__xludf.DUMMYFUNCTION("IMPORTRANGE(""https://docs.google.com/spreadsheets/d/1Yj_ptqi66GCucihVvJfMjLAmec39IyEx_6qawtMGysU/edit?usp=sharing"",""สบก!W54"")"),0)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IFERROR(__xludf.DUMMYFUNCTION("IMPORTRANGE(""https://docs.google.com/spreadsheets/d/1Yj_ptqi66GCucihVvJfMjLAmec39IyEx_6qawtMGysU/edit?usp=sharing"",""สบก!X54"")"),0)</f>
        <v>0</v>
      </c>
      <c r="M61" s="625"/>
      <c r="N61" s="622">
        <f ca="1">IFERROR(__xludf.DUMMYFUNCTION("IMPORTRANGE(""https://docs.google.com/spreadsheets/d/1Yj_ptqi66GCucihVvJfMjLAmec39IyEx_6qawtMGysU/edit?usp=sharing"",""สบก!AB54"")"),0)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614000</v>
      </c>
      <c r="M66" s="152">
        <f t="shared" ca="1" si="45"/>
        <v>493620</v>
      </c>
      <c r="N66" s="152">
        <f t="shared" ca="1" si="45"/>
        <v>422379.23</v>
      </c>
      <c r="O66" s="151">
        <f t="shared" ref="O66:O68" ca="1" si="46">IF(L66&gt;0,N66*100/L66,0)</f>
        <v>68.791405537459283</v>
      </c>
      <c r="P66" s="151">
        <f t="shared" ref="P66:P68" ca="1" si="47">IF(M66&gt;0,N66*100/M66,0)</f>
        <v>85.56768972083789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614000</v>
      </c>
      <c r="M68" s="157">
        <f t="shared" ca="1" si="49"/>
        <v>493620</v>
      </c>
      <c r="N68" s="157">
        <f t="shared" ca="1" si="49"/>
        <v>422379.23</v>
      </c>
      <c r="O68" s="156">
        <f t="shared" ca="1" si="46"/>
        <v>68.791405537459283</v>
      </c>
      <c r="P68" s="156">
        <f t="shared" ca="1" si="47"/>
        <v>85.56768972083789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614000</v>
      </c>
      <c r="M70" s="626">
        <f ca="1">IFERROR(__xludf.DUMMYFUNCTION("IMPORTRANGE(""https://docs.google.com/spreadsheets/d/1Yj_ptqi66GCucihVvJfMjLAmec39IyEx_6qawtMGysU/edit?usp=sharing"",""สบก!AI54"")"),493620)</f>
        <v>493620</v>
      </c>
      <c r="N70" s="627">
        <f ca="1">IFERROR(__xludf.DUMMYFUNCTION("IMPORTRANGE(""https://docs.google.com/spreadsheets/d/1Yj_ptqi66GCucihVvJfMjLAmec39IyEx_6qawtMGysU/edit?usp=sharing"",""สบก!AJ54"")"),422379.23)</f>
        <v>422379.23</v>
      </c>
      <c r="O70" s="169">
        <f ca="1">IF(L70&gt;0,N70*100/L70,0)</f>
        <v>68.791405537459283</v>
      </c>
      <c r="P70" s="169">
        <f ca="1">IF(M70&gt;0,N70*100/M70,0)</f>
        <v>85.56768972083789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IFERROR(__xludf.DUMMYFUNCTION("IMPORTRANGE(""https://docs.google.com/spreadsheets/d/1Yj_ptqi66GCucihVvJfMjLAmec39IyEx_6qawtMGysU/edit?usp=sharing"",""สบก!AF54"")"),382000)</f>
        <v>382000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IFERROR(__xludf.DUMMYFUNCTION("IMPORTRANGE(""https://docs.google.com/spreadsheets/d/1Yj_ptqi66GCucihVvJfMjLAmec39IyEx_6qawtMGysU/edit?usp=sharing"",""สบก!AG54"")"),0)</f>
        <v>0</v>
      </c>
      <c r="M74" s="625"/>
      <c r="N74" s="622">
        <f ca="1">IFERROR(__xludf.DUMMYFUNCTION("IMPORTRANGE(""https://docs.google.com/spreadsheets/d/1Yj_ptqi66GCucihVvJfMjLAmec39IyEx_6qawtMGysU/edit?usp=sharing"",""สบก!AK54"")"),0)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IFERROR(__xludf.DUMMYFUNCTION("IMPORTRANGE(""https://docs.google.com/spreadsheets/d/1XL5vhW3sbDhbH9Cz0tuDiY8C3ctxq1tqvaCgkFb8cCA/edit?usp=sharing"",""หนองบัวลำภู!I28"")"),30)</f>
        <v>30</v>
      </c>
      <c r="J88" s="204">
        <f ca="1">IFERROR(__xludf.DUMMYFUNCTION("IMPORTRANGE(""https://docs.google.com/spreadsheets/d/1XL5vhW3sbDhbH9Cz0tuDiY8C3ctxq1tqvaCgkFb8cCA/edit?usp=sharing"",""หนองบัวลำภู!J28"")"),30)</f>
        <v>30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IFERROR(__xludf.DUMMYFUNCTION("IMPORTRANGE(""https://docs.google.com/spreadsheets/d/1XL5vhW3sbDhbH9Cz0tuDiY8C3ctxq1tqvaCgkFb8cCA/edit?usp=sharing"",""หนองบัวลำภู!J30"")"),0)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IFERROR(__xludf.DUMMYFUNCTION("IMPORTRANGE(""https://docs.google.com/spreadsheets/d/1Yj_ptqi66GCucihVvJfMjLAmec39IyEx_6qawtMGysU/edit?usp=sharing"",""สบก!AR54"")"),0)</f>
        <v>0</v>
      </c>
      <c r="N98" s="627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IFERROR(__xludf.DUMMYFUNCTION("IMPORTRANGE(""https://docs.google.com/spreadsheets/d/1Yj_ptqi66GCucihVvJfMjLAmec39IyEx_6qawtMGysU/edit?usp=sharing"",""สบก!AP54"")"),0)</f>
        <v>0</v>
      </c>
      <c r="M102" s="625"/>
      <c r="N102" s="622">
        <f ca="1">IFERROR(__xludf.DUMMYFUNCTION("IMPORTRANGE(""https://docs.google.com/spreadsheets/d/1Yj_ptqi66GCucihVvJfMjLAmec39IyEx_6qawtMGysU/edit?usp=sharing"",""สบก!AT54"")"),0)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IFERROR(__xludf.DUMMYFUNCTION("IMPORTRANGE(""https://docs.google.com/spreadsheets/d/1XL5vhW3sbDhbH9Cz0tuDiY8C3ctxq1tqvaCgkFb8cCA/edit?usp=sharing"",""หนองบัวลำภู!J50"")"),0)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IFERROR(__xludf.DUMMYFUNCTION("IMPORTRANGE(""https://docs.google.com/spreadsheets/d/1Yj_ptqi66GCucihVvJfMjLAmec39IyEx_6qawtMGysU/edit?usp=sharing"",""สบก!BA54"")"),0)</f>
        <v>0</v>
      </c>
      <c r="N122" s="627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IFERROR(__xludf.DUMMYFUNCTION("IMPORTRANGE(""https://docs.google.com/spreadsheets/d/1Yj_ptqi66GCucihVvJfMjLAmec39IyEx_6qawtMGysU/edit?usp=sharing"",""สบก!AY54"")"),0)</f>
        <v>0</v>
      </c>
      <c r="M126" s="625"/>
      <c r="N126" s="622">
        <f ca="1">IFERROR(__xludf.DUMMYFUNCTION("IMPORTRANGE(""https://docs.google.com/spreadsheets/d/1Yj_ptqi66GCucihVvJfMjLAmec39IyEx_6qawtMGysU/edit?usp=sharing"",""สบก!BC54"")"),0)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293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IFERROR(__xludf.DUMMYFUNCTION("IMPORTRANGE(""https://docs.google.com/spreadsheets/d/1XL5vhW3sbDhbH9Cz0tuDiY8C3ctxq1tqvaCgkFb8cCA/edit?usp=sharing"",""หนองบัวลำภู!J65"")"),0)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IFERROR(__xludf.DUMMYFUNCTION("IMPORTRANGE(""https://docs.google.com/spreadsheets/d/1XL5vhW3sbDhbH9Cz0tuDiY8C3ctxq1tqvaCgkFb8cCA/edit?usp=sharing"",""หนองบัวลำภู!I68"")"),15)</f>
        <v>15</v>
      </c>
      <c r="J138" s="267">
        <f ca="1">IFERROR(__xludf.DUMMYFUNCTION("IMPORTRANGE(""https://docs.google.com/spreadsheets/d/1XL5vhW3sbDhbH9Cz0tuDiY8C3ctxq1tqvaCgkFb8cCA/edit?usp=sharing"",""หนองบัวลำภู!J68"")"),15)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212100</v>
      </c>
      <c r="M140" s="152">
        <f t="shared" ca="1" si="64"/>
        <v>281525</v>
      </c>
      <c r="N140" s="152">
        <f t="shared" ca="1" si="64"/>
        <v>238436.98</v>
      </c>
      <c r="O140" s="151">
        <f t="shared" ref="O140:O142" ca="1" si="65">IF(L140&gt;0,N140*100/L140,0)</f>
        <v>112.41724658180104</v>
      </c>
      <c r="P140" s="151">
        <f t="shared" ref="P140:P142" ca="1" si="66">IF(M140&gt;0,N140*100/M140,0)</f>
        <v>84.694780214900987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212100</v>
      </c>
      <c r="M142" s="157">
        <f t="shared" ca="1" si="68"/>
        <v>281525</v>
      </c>
      <c r="N142" s="157">
        <f t="shared" ca="1" si="68"/>
        <v>238436.98</v>
      </c>
      <c r="O142" s="156">
        <f t="shared" ca="1" si="65"/>
        <v>112.41724658180104</v>
      </c>
      <c r="P142" s="156">
        <f t="shared" ca="1" si="66"/>
        <v>84.694780214900987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212100</v>
      </c>
      <c r="M144" s="626">
        <f ca="1">IFERROR(__xludf.DUMMYFUNCTION("IMPORTRANGE(""https://docs.google.com/spreadsheets/d/1Yj_ptqi66GCucihVvJfMjLAmec39IyEx_6qawtMGysU/edit?usp=sharing"",""สบก!BJ54"")"),281525)</f>
        <v>281525</v>
      </c>
      <c r="N144" s="627">
        <f ca="1">IFERROR(__xludf.DUMMYFUNCTION("IMPORTRANGE(""https://docs.google.com/spreadsheets/d/1Yj_ptqi66GCucihVvJfMjLAmec39IyEx_6qawtMGysU/edit?usp=sharing"",""สบก!BK54"")"),238436.98)</f>
        <v>238436.98</v>
      </c>
      <c r="O144" s="169">
        <f ca="1">IF(L144&gt;0,N144*100/L144,0)</f>
        <v>112.41724658180104</v>
      </c>
      <c r="P144" s="169">
        <f ca="1">IF(M144&gt;0,N144*100/M144,0)</f>
        <v>84.694780214900987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IFERROR(__xludf.DUMMYFUNCTION("IMPORTRANGE(""https://docs.google.com/spreadsheets/d/1Yj_ptqi66GCucihVvJfMjLAmec39IyEx_6qawtMGysU/edit?usp=sharing"",""สบก!BG54"")"),117000)</f>
        <v>117000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IFERROR(__xludf.DUMMYFUNCTION("IMPORTRANGE(""https://docs.google.com/spreadsheets/d/1Yj_ptqi66GCucihVvJfMjLAmec39IyEx_6qawtMGysU/edit?usp=sharing"",""สบก!BH54"")"),0)</f>
        <v>0</v>
      </c>
      <c r="M148" s="625"/>
      <c r="N148" s="622">
        <f ca="1">IFERROR(__xludf.DUMMYFUNCTION("IMPORTRANGE(""https://docs.google.com/spreadsheets/d/1Yj_ptqi66GCucihVvJfMjLAmec39IyEx_6qawtMGysU/edit?usp=sharing"",""สบก!BL54"")"),0)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IFERROR(__xludf.DUMMYFUNCTION("IMPORTRANGE(""https://docs.google.com/spreadsheets/d/1XL5vhW3sbDhbH9Cz0tuDiY8C3ctxq1tqvaCgkFb8cCA/edit?usp=sharing"",""หนองบัวลำภู!I74"")"),4)</f>
        <v>4</v>
      </c>
      <c r="J149" s="275">
        <f ca="1">IFERROR(__xludf.DUMMYFUNCTION("IMPORTRANGE(""https://docs.google.com/spreadsheets/d/1XL5vhW3sbDhbH9Cz0tuDiY8C3ctxq1tqvaCgkFb8cCA/edit?usp=sharing"",""หนองบัวลำภู!J74"")"),2)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IFERROR(__xludf.DUMMYFUNCTION("IMPORTRANGE(""https://docs.google.com/spreadsheets/d/1XL5vhW3sbDhbH9Cz0tuDiY8C3ctxq1tqvaCgkFb8cCA/edit?usp=sharing"",""หนองบัวลำภู!J85"")"),40)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IFERROR(__xludf.DUMMYFUNCTION("IMPORTRANGE(""https://docs.google.com/spreadsheets/d/1XL5vhW3sbDhbH9Cz0tuDiY8C3ctxq1tqvaCgkFb8cCA/edit?usp=sharing"",""หนองบัวลำภู!J88"")"),0)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IFERROR(__xludf.DUMMYFUNCTION("IMPORTRANGE(""https://docs.google.com/spreadsheets/d/1XL5vhW3sbDhbH9Cz0tuDiY8C3ctxq1tqvaCgkFb8cCA/edit?usp=sharing"",""หนองบัวลำภู!I89"")"),3)</f>
        <v>3</v>
      </c>
      <c r="J164" s="284">
        <f ca="1">IFERROR(__xludf.DUMMYFUNCTION("IMPORTRANGE(""https://docs.google.com/spreadsheets/d/1XL5vhW3sbDhbH9Cz0tuDiY8C3ctxq1tqvaCgkFb8cCA/edit?usp=sharing"",""หนองบัวลำภู!J89"")"),2)</f>
        <v>2</v>
      </c>
      <c r="K164" s="285">
        <f ca="1">IF(I164&gt;0,J164*100/I164,0)</f>
        <v>66.666666666666671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IFERROR(__xludf.DUMMYFUNCTION("IMPORTRANGE(""https://docs.google.com/spreadsheets/d/1XL5vhW3sbDhbH9Cz0tuDiY8C3ctxq1tqvaCgkFb8cCA/edit?usp=sharing"",""หนองบัวลำภู!J98"")"),2)</f>
        <v>2</v>
      </c>
      <c r="K173" s="163">
        <f ca="1">IF(I173&gt;0,J173*100/I173,0)</f>
        <v>66.666666666666671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IFERROR(__xludf.DUMMYFUNCTION("IMPORTRANGE(""https://docs.google.com/spreadsheets/d/1XL5vhW3sbDhbH9Cz0tuDiY8C3ctxq1tqvaCgkFb8cCA/edit?usp=sharing"",""หนองบัวลำภู!J100"")"),0)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IFERROR(__xludf.DUMMYFUNCTION("IMPORTRANGE(""https://docs.google.com/spreadsheets/d/1XL5vhW3sbDhbH9Cz0tuDiY8C3ctxq1tqvaCgkFb8cCA/edit?usp=sharing"",""หนองบัวลำภู!I101"")"),3)</f>
        <v>3</v>
      </c>
      <c r="J176" s="284">
        <f ca="1">IFERROR(__xludf.DUMMYFUNCTION("IMPORTRANGE(""https://docs.google.com/spreadsheets/d/1XL5vhW3sbDhbH9Cz0tuDiY8C3ctxq1tqvaCgkFb8cCA/edit?usp=sharing"",""หนองบัวลำภู!J101"")"),2)</f>
        <v>2</v>
      </c>
      <c r="K176" s="285">
        <f ca="1">IF(I176&gt;0,J176*100/I176,0)</f>
        <v>66.666666666666671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IFERROR(__xludf.DUMMYFUNCTION("IMPORTRANGE(""https://docs.google.com/spreadsheets/d/1XL5vhW3sbDhbH9Cz0tuDiY8C3ctxq1tqvaCgkFb8cCA/edit?usp=sharing"",""หนองบัวลำภู!J111"")"),2)</f>
        <v>2</v>
      </c>
      <c r="K186" s="224">
        <f t="shared" ca="1" si="69"/>
        <v>66.666666666666671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IFERROR(__xludf.DUMMYFUNCTION("IMPORTRANGE(""https://docs.google.com/spreadsheets/d/1XL5vhW3sbDhbH9Cz0tuDiY8C3ctxq1tqvaCgkFb8cCA/edit?usp=sharing"",""หนองบัวลำภู!J113"")"),0)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4">
        <f ca="1">IFERROR(__xludf.DUMMYFUNCTION("IMPORTRANGE(""https://docs.google.com/spreadsheets/d/1XL5vhW3sbDhbH9Cz0tuDiY8C3ctxq1tqvaCgkFb8cCA/edit?usp=sharing"",""หนองบัวลำภู!J114"")"),0)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IFERROR(__xludf.DUMMYFUNCTION("IMPORTRANGE(""https://docs.google.com/spreadsheets/d/1XL5vhW3sbDhbH9Cz0tuDiY8C3ctxq1tqvaCgkFb8cCA/edit?usp=sharing"",""หนองบัวลำภู!J128"")"),0)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IFERROR(__xludf.DUMMYFUNCTION("IMPORTRANGE(""https://docs.google.com/spreadsheets/d/1XL5vhW3sbDhbH9Cz0tuDiY8C3ctxq1tqvaCgkFb8cCA/edit?usp=sharing"",""หนองบัวลำภู!I129"")"),0)</f>
        <v>0</v>
      </c>
      <c r="J204" s="284">
        <f ca="1">IFERROR(__xludf.DUMMYFUNCTION("IMPORTRANGE(""https://docs.google.com/spreadsheets/d/1XL5vhW3sbDhbH9Cz0tuDiY8C3ctxq1tqvaCgkFb8cCA/edit?usp=sharing"",""หนองบัวลำภู!J129"")"),0)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IFERROR(__xludf.DUMMYFUNCTION("IMPORTRANGE(""https://docs.google.com/spreadsheets/d/1XL5vhW3sbDhbH9Cz0tuDiY8C3ctxq1tqvaCgkFb8cCA/edit?usp=sharing"",""หนองบัวลำภู!J143"")"),0)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IFERROR(__xludf.DUMMYFUNCTION("IMPORTRANGE(""https://docs.google.com/spreadsheets/d/1XL5vhW3sbDhbH9Cz0tuDiY8C3ctxq1tqvaCgkFb8cCA/edit?usp=sharing"",""หนองบัวลำภู!I144"")"),13)</f>
        <v>13</v>
      </c>
      <c r="J219" s="267">
        <f ca="1">IFERROR(__xludf.DUMMYFUNCTION("IMPORTRANGE(""https://docs.google.com/spreadsheets/d/1XL5vhW3sbDhbH9Cz0tuDiY8C3ctxq1tqvaCgkFb8cCA/edit?usp=sharing"",""หนองบัวลำภู!J144"")"),13)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6">
        <f ca="1">IFERROR(__xludf.DUMMYFUNCTION("IMPORTRANGE(""https://docs.google.com/spreadsheets/d/1Yj_ptqi66GCucihVvJfMjLAmec39IyEx_6qawtMGysU/edit?usp=sharing"",""สบก!BS54"")"),19295)</f>
        <v>19295</v>
      </c>
      <c r="N224" s="627">
        <f ca="1">IFERROR(__xludf.DUMMYFUNCTION("IMPORTRANGE(""https://docs.google.com/spreadsheets/d/1Yj_ptqi66GCucihVvJfMjLAmec39IyEx_6qawtMGysU/edit?usp=sharing"",""สบก!BT54"")"),19295)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IFERROR(__xludf.DUMMYFUNCTION("IMPORTRANGE(""https://docs.google.com/spreadsheets/d/1Yj_ptqi66GCucihVvJfMjLAmec39IyEx_6qawtMGysU/edit?usp=sharing"",""สบก!BP54"")"),19295)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IFERROR(__xludf.DUMMYFUNCTION("IMPORTRANGE(""https://docs.google.com/spreadsheets/d/1Yj_ptqi66GCucihVvJfMjLAmec39IyEx_6qawtMGysU/edit?usp=sharing"",""สบก!BQ54"")"),0)</f>
        <v>0</v>
      </c>
      <c r="M228" s="625"/>
      <c r="N228" s="622">
        <f ca="1">IFERROR(__xludf.DUMMYFUNCTION("IMPORTRANGE(""https://docs.google.com/spreadsheets/d/1Yj_ptqi66GCucihVvJfMjLAmec39IyEx_6qawtMGysU/edit?usp=sharing"",""สบก!BU54"")"),0)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IFERROR(__xludf.DUMMYFUNCTION("IMPORTRANGE(""https://docs.google.com/spreadsheets/d/1XL5vhW3sbDhbH9Cz0tuDiY8C3ctxq1tqvaCgkFb8cCA/edit?usp=sharing"",""หนองบัวลำภู!I149"")"),13)</f>
        <v>13</v>
      </c>
      <c r="J229" s="267">
        <f ca="1">IFERROR(__xludf.DUMMYFUNCTION("IMPORTRANGE(""https://docs.google.com/spreadsheets/d/1XL5vhW3sbDhbH9Cz0tuDiY8C3ctxq1tqvaCgkFb8cCA/edit?usp=sharing"",""หนองบัวลำภู!J149"")"),13)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IFERROR(__xludf.DUMMYFUNCTION("IMPORTRANGE(""https://docs.google.com/spreadsheets/d/1XL5vhW3sbDhbH9Cz0tuDiY8C3ctxq1tqvaCgkFb8cCA/edit?usp=sharing"",""หนองบัวลำภู!J157"")"),1)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IFERROR(__xludf.DUMMYFUNCTION("IMPORTRANGE(""https://docs.google.com/spreadsheets/d/1XL5vhW3sbDhbH9Cz0tuDiY8C3ctxq1tqvaCgkFb8cCA/edit?usp=sharing"",""หนองบัวลำภู!I158"")"),0)</f>
        <v>0</v>
      </c>
      <c r="J238" s="267">
        <f ca="1">IFERROR(__xludf.DUMMYFUNCTION("IMPORTRANGE(""https://docs.google.com/spreadsheets/d/1XL5vhW3sbDhbH9Cz0tuDiY8C3ctxq1tqvaCgkFb8cCA/edit?usp=sharing"",""หนองบัวลำภู!J158"")"),0)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IFERROR(__xludf.DUMMYFUNCTION("IMPORTRANGE(""https://docs.google.com/spreadsheets/d/1XL5vhW3sbDhbH9Cz0tuDiY8C3ctxq1tqvaCgkFb8cCA/edit?usp=sharing"",""หนองบัวลำภู!J166"")"),0)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IFERROR(__xludf.DUMMYFUNCTION("IMPORTRANGE(""https://docs.google.com/spreadsheets/d/1XL5vhW3sbDhbH9Cz0tuDiY8C3ctxq1tqvaCgkFb8cCA/edit?usp=sharing"",""หนองบัวลำภู!I169"")"),0)</f>
        <v>0</v>
      </c>
      <c r="J249" s="316">
        <f ca="1">IFERROR(__xludf.DUMMYFUNCTION("IMPORTRANGE(""https://docs.google.com/spreadsheets/d/1XL5vhW3sbDhbH9Cz0tuDiY8C3ctxq1tqvaCgkFb8cCA/edit?usp=sharing"",""หนองบัวลำภู!J169"")"),0)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IFERROR(__xludf.DUMMYFUNCTION("IMPORTRANGE(""https://docs.google.com/spreadsheets/d/1Yj_ptqi66GCucihVvJfMjLAmec39IyEx_6qawtMGysU/edit?usp=sharing"",""สบก!CB54"")"),0)</f>
        <v>0</v>
      </c>
      <c r="N254" s="627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IFERROR(__xludf.DUMMYFUNCTION("IMPORTRANGE(""https://docs.google.com/spreadsheets/d/1Yj_ptqi66GCucihVvJfMjLAmec39IyEx_6qawtMGysU/edit?usp=sharing"",""สบก!BZ54"")"),0)</f>
        <v>0</v>
      </c>
      <c r="M258" s="625"/>
      <c r="N258" s="622">
        <f ca="1">IFERROR(__xludf.DUMMYFUNCTION("IMPORTRANGE(""https://docs.google.com/spreadsheets/d/1Yj_ptqi66GCucihVvJfMjLAmec39IyEx_6qawtMGysU/edit?usp=sharing"",""สบก!CD54"")"),0)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IFERROR(__xludf.DUMMYFUNCTION("IMPORTRANGE(""https://docs.google.com/spreadsheets/d/1XL5vhW3sbDhbH9Cz0tuDiY8C3ctxq1tqvaCgkFb8cCA/edit?usp=sharing"",""หนองบัวลำภู!J184"")"),0)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IFERROR(__xludf.DUMMYFUNCTION("IMPORTRANGE(""https://docs.google.com/spreadsheets/d/1XL5vhW3sbDhbH9Cz0tuDiY8C3ctxq1tqvaCgkFb8cCA/edit?usp=sharing"",""หนองบัวลำภู!I185"")"),0)</f>
        <v>0</v>
      </c>
      <c r="J270" s="316">
        <f ca="1">IFERROR(__xludf.DUMMYFUNCTION("IMPORTRANGE(""https://docs.google.com/spreadsheets/d/1XL5vhW3sbDhbH9Cz0tuDiY8C3ctxq1tqvaCgkFb8cCA/edit?usp=sharing"",""หนองบัวลำภู!J185"")"),0)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IFERROR(__xludf.DUMMYFUNCTION("IMPORTRANGE(""https://docs.google.com/spreadsheets/d/1Yj_ptqi66GCucihVvJfMjLAmec39IyEx_6qawtMGysU/edit?usp=sharing"",""สบก!CK54"")"),0)</f>
        <v>0</v>
      </c>
      <c r="N275" s="627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IFERROR(__xludf.DUMMYFUNCTION("IMPORTRANGE(""https://docs.google.com/spreadsheets/d/1Yj_ptqi66GCucihVvJfMjLAmec39IyEx_6qawtMGysU/edit?usp=sharing"",""สบก!CI54"")"),0)</f>
        <v>0</v>
      </c>
      <c r="M279" s="625"/>
      <c r="N279" s="622">
        <f ca="1">IFERROR(__xludf.DUMMYFUNCTION("IMPORTRANGE(""https://docs.google.com/spreadsheets/d/1Yj_ptqi66GCucihVvJfMjLAmec39IyEx_6qawtMGysU/edit?usp=sharing"",""สบก!CM54"")"),0)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IFERROR(__xludf.DUMMYFUNCTION("IMPORTRANGE(""https://docs.google.com/spreadsheets/d/1XL5vhW3sbDhbH9Cz0tuDiY8C3ctxq1tqvaCgkFb8cCA/edit?usp=sharing"",""หนองบัวลำภู!I199"")"),0)</f>
        <v>0</v>
      </c>
      <c r="J289" s="316">
        <f ca="1">IFERROR(__xludf.DUMMYFUNCTION("IMPORTRANGE(""https://docs.google.com/spreadsheets/d/1XL5vhW3sbDhbH9Cz0tuDiY8C3ctxq1tqvaCgkFb8cCA/edit?usp=sharing"",""หนองบัวลำภู!J199"")"),0)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IFERROR(__xludf.DUMMYFUNCTION("IMPORTRANGE(""https://docs.google.com/spreadsheets/d/1Yj_ptqi66GCucihVvJfMjLAmec39IyEx_6qawtMGysU/edit?usp=sharing"",""สบก!CT54"")"),0)</f>
        <v>0</v>
      </c>
      <c r="N294" s="627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IFERROR(__xludf.DUMMYFUNCTION("IMPORTRANGE(""https://docs.google.com/spreadsheets/d/1Yj_ptqi66GCucihVvJfMjLAmec39IyEx_6qawtMGysU/edit?usp=sharing"",""สบก!CR54"")"),0)</f>
        <v>0</v>
      </c>
      <c r="M298" s="625"/>
      <c r="N298" s="622">
        <f ca="1">IFERROR(__xludf.DUMMYFUNCTION("IMPORTRANGE(""https://docs.google.com/spreadsheets/d/1Yj_ptqi66GCucihVvJfMjLAmec39IyEx_6qawtMGysU/edit?usp=sharing"",""สบก!CV54"")"),0)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IFERROR(__xludf.DUMMYFUNCTION("IMPORTRANGE(""https://docs.google.com/spreadsheets/d/1XL5vhW3sbDhbH9Cz0tuDiY8C3ctxq1tqvaCgkFb8cCA/edit?usp=sharing"",""หนองบัวลำภู!J213"")"),0)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IFERROR(__xludf.DUMMYFUNCTION("IMPORTRANGE(""https://docs.google.com/spreadsheets/d/1XL5vhW3sbDhbH9Cz0tuDiY8C3ctxq1tqvaCgkFb8cCA/edit?usp=sharing"",""หนองบัวลำภู!I214"")"),0)</f>
        <v>0</v>
      </c>
      <c r="J309" s="333">
        <f ca="1">IFERROR(__xludf.DUMMYFUNCTION("IMPORTRANGE(""https://docs.google.com/spreadsheets/d/1XL5vhW3sbDhbH9Cz0tuDiY8C3ctxq1tqvaCgkFb8cCA/edit?usp=sharing"",""หนองบัวลำภู!J214"")"),0)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IFERROR(__xludf.DUMMYFUNCTION("IMPORTRANGE(""https://docs.google.com/spreadsheets/d/1Yj_ptqi66GCucihVvJfMjLAmec39IyEx_6qawtMGysU/edit?usp=sharing"",""สบก!DC54"")"),0)</f>
        <v>0</v>
      </c>
      <c r="N314" s="627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IFERROR(__xludf.DUMMYFUNCTION("IMPORTRANGE(""https://docs.google.com/spreadsheets/d/1Yj_ptqi66GCucihVvJfMjLAmec39IyEx_6qawtMGysU/edit?usp=sharing"",""สบก!DA54"")"),0)</f>
        <v>0</v>
      </c>
      <c r="M318" s="625"/>
      <c r="N318" s="622">
        <f ca="1">IFERROR(__xludf.DUMMYFUNCTION("IMPORTRANGE(""https://docs.google.com/spreadsheets/d/1Yj_ptqi66GCucihVvJfMjLAmec39IyEx_6qawtMGysU/edit?usp=sharing"",""สบก!DE54"")"),0)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IFERROR(__xludf.DUMMYFUNCTION("IMPORTRANGE(""https://docs.google.com/spreadsheets/d/1XL5vhW3sbDhbH9Cz0tuDiY8C3ctxq1tqvaCgkFb8cCA/edit?usp=sharing"",""หนองบัวลำภู!J226"")"),0)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IFERROR(__xludf.DUMMYFUNCTION("IMPORTRANGE(""https://docs.google.com/spreadsheets/d/1XL5vhW3sbDhbH9Cz0tuDiY8C3ctxq1tqvaCgkFb8cCA/edit?usp=sharing"",""หนองบัวลำภู!I228"")"),840)</f>
        <v>840</v>
      </c>
      <c r="J328" s="339">
        <f ca="1">IFERROR(__xludf.DUMMYFUNCTION("IMPORTRANGE(""https://docs.google.com/spreadsheets/d/1XL5vhW3sbDhbH9Cz0tuDiY8C3ctxq1tqvaCgkFb8cCA/edit?usp=sharing"",""หนองบัวลำภู!J228"")"),313)</f>
        <v>313</v>
      </c>
      <c r="K328" s="317">
        <f ca="1">IF(I328&gt;0,J328*100/I328,0)</f>
        <v>37.261904761904759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1335310</v>
      </c>
      <c r="M329" s="152">
        <f t="shared" ca="1" si="98"/>
        <v>1172730</v>
      </c>
      <c r="N329" s="152">
        <f t="shared" ca="1" si="98"/>
        <v>658554.75</v>
      </c>
      <c r="O329" s="151">
        <f t="shared" ref="O329:O331" ca="1" si="99">IF(L329&gt;0,N329*100/L329,0)</f>
        <v>49.318491586223423</v>
      </c>
      <c r="P329" s="151">
        <f t="shared" ref="P329:P331" ca="1" si="100">IF(M329&gt;0,N329*100/M329,0)</f>
        <v>56.155700800695811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1335310</v>
      </c>
      <c r="M331" s="157">
        <f t="shared" ca="1" si="102"/>
        <v>1172730</v>
      </c>
      <c r="N331" s="157">
        <f t="shared" ca="1" si="102"/>
        <v>658554.75</v>
      </c>
      <c r="O331" s="156">
        <f t="shared" ca="1" si="99"/>
        <v>49.318491586223423</v>
      </c>
      <c r="P331" s="156">
        <f t="shared" ca="1" si="100"/>
        <v>56.155700800695811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1286410</v>
      </c>
      <c r="M333" s="626">
        <f ca="1">IFERROR(__xludf.DUMMYFUNCTION("IMPORTRANGE(""https://docs.google.com/spreadsheets/d/1Yj_ptqi66GCucihVvJfMjLAmec39IyEx_6qawtMGysU/edit?usp=sharing"",""สบก!DL54"")"),1123830)</f>
        <v>1123830</v>
      </c>
      <c r="N333" s="627">
        <f ca="1">IFERROR(__xludf.DUMMYFUNCTION("IMPORTRANGE(""https://docs.google.com/spreadsheets/d/1Yj_ptqi66GCucihVvJfMjLAmec39IyEx_6qawtMGysU/edit?usp=sharing"",""สบก!DM54"")"),609654.75)</f>
        <v>609654.75</v>
      </c>
      <c r="O333" s="169">
        <f ca="1">IF(L333&gt;0,N333*100/L333,0)</f>
        <v>47.391947357374399</v>
      </c>
      <c r="P333" s="169">
        <f ca="1">IF(M333&gt;0,N333*100/M333,0)</f>
        <v>54.247951202584019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IFERROR(__xludf.DUMMYFUNCTION("IMPORTRANGE(""https://docs.google.com/spreadsheets/d/1Yj_ptqi66GCucihVvJfMjLAmec39IyEx_6qawtMGysU/edit?usp=sharing"",""สบก!DI54"")"),980410)</f>
        <v>980410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IFERROR(__xludf.DUMMYFUNCTION("IMPORTRANGE(""https://docs.google.com/spreadsheets/d/1Yj_ptqi66GCucihVvJfMjLAmec39IyEx_6qawtMGysU/edit?usp=sharing"",""สบก!DJ54"")"),48900)</f>
        <v>48900</v>
      </c>
      <c r="M337" s="625">
        <f ca="1">L337</f>
        <v>48900</v>
      </c>
      <c r="N337" s="622">
        <f ca="1">IFERROR(__xludf.DUMMYFUNCTION("IMPORTRANGE(""https://docs.google.com/spreadsheets/d/1Yj_ptqi66GCucihVvJfMjLAmec39IyEx_6qawtMGysU/edit?usp=sharing"",""สบก!DN54"")"),48900)</f>
        <v>48900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IFERROR(__xludf.DUMMYFUNCTION("IMPORTRANGE(""https://docs.google.com/spreadsheets/d/1XL5vhW3sbDhbH9Cz0tuDiY8C3ctxq1tqvaCgkFb8cCA/edit?usp=sharing"",""หนองบัวลำภู!J234"")"),248)</f>
        <v>248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IFERROR(__xludf.DUMMYFUNCTION("IMPORTRANGE(""https://docs.google.com/spreadsheets/d/1XL5vhW3sbDhbH9Cz0tuDiY8C3ctxq1tqvaCgkFb8cCA/edit?usp=sharing"",""หนองบัวลำภู!I235"")"),7400)</f>
        <v>7400</v>
      </c>
      <c r="J340" s="188">
        <f ca="1">IFERROR(__xludf.DUMMYFUNCTION("IMPORTRANGE(""https://docs.google.com/spreadsheets/d/1XL5vhW3sbDhbH9Cz0tuDiY8C3ctxq1tqvaCgkFb8cCA/edit?usp=sharing"",""หนองบัวลำภู!J235"")"),2301.97)</f>
        <v>2301.9699999999998</v>
      </c>
      <c r="K340" s="342">
        <f t="shared" ca="1" si="103"/>
        <v>31.107702702702699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IFERROR(__xludf.DUMMYFUNCTION("IMPORTRANGE(""https://docs.google.com/spreadsheets/d/1XL5vhW3sbDhbH9Cz0tuDiY8C3ctxq1tqvaCgkFb8cCA/edit?usp=sharing"",""หนองบัวลำภู!I236"")"),840)</f>
        <v>840</v>
      </c>
      <c r="J341" s="188">
        <f ca="1">IFERROR(__xludf.DUMMYFUNCTION("IMPORTRANGE(""https://docs.google.com/spreadsheets/d/1XL5vhW3sbDhbH9Cz0tuDiY8C3ctxq1tqvaCgkFb8cCA/edit?usp=sharing"",""หนองบัวลำภู!J236"")"),314)</f>
        <v>314</v>
      </c>
      <c r="K341" s="342">
        <f t="shared" ca="1" si="103"/>
        <v>37.38095238095238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IFERROR(__xludf.DUMMYFUNCTION("IMPORTRANGE(""https://docs.google.com/spreadsheets/d/1XL5vhW3sbDhbH9Cz0tuDiY8C3ctxq1tqvaCgkFb8cCA/edit?usp=sharing"",""หนองบัวลำภู!J237"")"),3813.39)</f>
        <v>3813.39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IFERROR(__xludf.DUMMYFUNCTION("IMPORTRANGE(""https://docs.google.com/spreadsheets/d/1XL5vhW3sbDhbH9Cz0tuDiY8C3ctxq1tqvaCgkFb8cCA/edit?usp=sharing"",""หนองบัวลำภู!I238"")"),840)</f>
        <v>840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IFERROR(__xludf.DUMMYFUNCTION("IMPORTRANGE(""https://docs.google.com/spreadsheets/d/1XL5vhW3sbDhbH9Cz0tuDiY8C3ctxq1tqvaCgkFb8cCA/edit?usp=sharing"",""หนองบัวลำภู!I240"")"),840)</f>
        <v>840</v>
      </c>
      <c r="J345" s="188">
        <f ca="1">IFERROR(__xludf.DUMMYFUNCTION("IMPORTRANGE(""https://docs.google.com/spreadsheets/d/1XL5vhW3sbDhbH9Cz0tuDiY8C3ctxq1tqvaCgkFb8cCA/edit?usp=sharing"",""หนองบัวลำภู!J240"")"),313)</f>
        <v>313</v>
      </c>
      <c r="K345" s="342">
        <f t="shared" ca="1" si="103"/>
        <v>37.261904761904759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IFERROR(__xludf.DUMMYFUNCTION("IMPORTRANGE(""https://docs.google.com/spreadsheets/d/1XL5vhW3sbDhbH9Cz0tuDiY8C3ctxq1tqvaCgkFb8cCA/edit?usp=sharing"",""หนองบัวลำภู!J241"")"),3810.93)</f>
        <v>3810.93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IFERROR(__xludf.DUMMYFUNCTION("IMPORTRANGE(""https://docs.google.com/spreadsheets/d/1XL5vhW3sbDhbH9Cz0tuDiY8C3ctxq1tqvaCgkFb8cCA/edit?usp=sharing"",""หนองบัวลำภู!L242"")"),3461536)</f>
        <v>3461536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IFERROR(__xludf.DUMMYFUNCTION("IMPORTRANGE(""https://docs.google.com/spreadsheets/d/1XL5vhW3sbDhbH9Cz0tuDiY8C3ctxq1tqvaCgkFb8cCA/edit?usp=sharing"",""หนองบัวลำภู!M242"")"),1415374.3)</f>
        <v>1415374.3</v>
      </c>
      <c r="O347" s="358">
        <f ca="1">+IF(L347&gt;0,N347*100/L347,0)</f>
        <v>40.888619965240864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IFERROR(__xludf.DUMMYFUNCTION("IMPORTRANGE(""https://docs.google.com/spreadsheets/d/1XL5vhW3sbDhbH9Cz0tuDiY8C3ctxq1tqvaCgkFb8cCA/edit?usp=sharing"",""หนองบัวลำภู!J244"")"),393)</f>
        <v>393</v>
      </c>
      <c r="K349" s="372">
        <f t="shared" ref="K349:K350" ca="1" si="104">IF(I349&gt;0,J349*100/I349,0)</f>
        <v>100.25510204081633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IFERROR(__xludf.DUMMYFUNCTION("IMPORTRANGE(""https://docs.google.com/spreadsheets/d/1XL5vhW3sbDhbH9Cz0tuDiY8C3ctxq1tqvaCgkFb8cCA/edit?usp=sharing"",""หนองบัวลำภู!M244"")"),246808.72)</f>
        <v>246808.72</v>
      </c>
      <c r="O349" s="373">
        <f ca="1">+IF(L349&gt;0,N349*100/L349,0)</f>
        <v>40.093687254296761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IFERROR(__xludf.DUMMYFUNCTION("IMPORTRANGE(""https://docs.google.com/spreadsheets/d/1XL5vhW3sbDhbH9Cz0tuDiY8C3ctxq1tqvaCgkFb8cCA/edit?usp=sharing"",""หนองบัวลำภู!M247"")"),246808.72)</f>
        <v>246808.72</v>
      </c>
      <c r="O352" s="165">
        <f t="shared" ca="1" si="105"/>
        <v>40.093687254296761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IFERROR(__xludf.DUMMYFUNCTION("IMPORTRANGE(""https://docs.google.com/spreadsheets/d/1XL5vhW3sbDhbH9Cz0tuDiY8C3ctxq1tqvaCgkFb8cCA/edit?usp=sharing"",""หนองบัวลำภู!M249"")"),246808.72)</f>
        <v>246808.72</v>
      </c>
      <c r="O354" s="169">
        <f t="shared" ca="1" si="105"/>
        <v>40.093687254296761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IFERROR(__xludf.DUMMYFUNCTION("IMPORTRANGE(""https://docs.google.com/spreadsheets/d/1XL5vhW3sbDhbH9Cz0tuDiY8C3ctxq1tqvaCgkFb8cCA/edit?usp=sharing"",""หนองบัวลำภู!M250"")"),91543)</f>
        <v>91543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IFERROR(__xludf.DUMMYFUNCTION("IMPORTRANGE(""https://docs.google.com/spreadsheets/d/1XL5vhW3sbDhbH9Cz0tuDiY8C3ctxq1tqvaCgkFb8cCA/edit?usp=sharing"",""หนองบัวลำภู!M251"")"),55179)</f>
        <v>55179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IFERROR(__xludf.DUMMYFUNCTION("IMPORTRANGE(""https://docs.google.com/spreadsheets/d/1XL5vhW3sbDhbH9Cz0tuDiY8C3ctxq1tqvaCgkFb8cCA/edit?usp=sharing"",""หนองบัวลำภู!M252"")"),71866.72)</f>
        <v>71866.720000000001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IFERROR(__xludf.DUMMYFUNCTION("IMPORTRANGE(""https://docs.google.com/spreadsheets/d/1XL5vhW3sbDhbH9Cz0tuDiY8C3ctxq1tqvaCgkFb8cCA/edit?usp=sharing"",""หนองบัวลำภู!M253"")"),28220)</f>
        <v>28220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IFERROR(__xludf.DUMMYFUNCTION("IMPORTRANGE(""https://docs.google.com/spreadsheets/d/1XL5vhW3sbDhbH9Cz0tuDiY8C3ctxq1tqvaCgkFb8cCA/edit?usp=sharing"",""หนองบัวลำภู!J270"")"),393)</f>
        <v>393</v>
      </c>
      <c r="K375" s="163">
        <f t="shared" ref="K375:K377" ca="1" si="107">IF(I375&gt;0,J375*100/I375,0)</f>
        <v>100.25510204081633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IFERROR(__xludf.DUMMYFUNCTION("IMPORTRANGE(""https://docs.google.com/spreadsheets/d/1XL5vhW3sbDhbH9Cz0tuDiY8C3ctxq1tqvaCgkFb8cCA/edit?usp=sharing"",""หนองบัวลำภู!J272"")"),372)</f>
        <v>372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IFERROR(__xludf.DUMMYFUNCTION("IMPORTRANGE(""https://docs.google.com/spreadsheets/d/1XL5vhW3sbDhbH9Cz0tuDiY8C3ctxq1tqvaCgkFb8cCA/edit?usp=sharing"",""หนองบัวลำภู!J274"")"),0)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IFERROR(__xludf.DUMMYFUNCTION("IMPORTRANGE(""https://docs.google.com/spreadsheets/d/1XL5vhW3sbDhbH9Cz0tuDiY8C3ctxq1tqvaCgkFb8cCA/edit?usp=sharing"",""หนองบัวลำภู!M275"")"),302697.36)</f>
        <v>302697.36</v>
      </c>
      <c r="O380" s="373">
        <f ca="1">+IF(L380&gt;0,N380*100/L380,0)</f>
        <v>29.430381519075954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IFERROR(__xludf.DUMMYFUNCTION("IMPORTRANGE(""https://docs.google.com/spreadsheets/d/1XL5vhW3sbDhbH9Cz0tuDiY8C3ctxq1tqvaCgkFb8cCA/edit?usp=sharing"",""หนองบัวลำภู!M278"")"),302697.36)</f>
        <v>302697.36</v>
      </c>
      <c r="O383" s="165">
        <f t="shared" ca="1" si="109"/>
        <v>29.430381519075954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IFERROR(__xludf.DUMMYFUNCTION("IMPORTRANGE(""https://docs.google.com/spreadsheets/d/1XL5vhW3sbDhbH9Cz0tuDiY8C3ctxq1tqvaCgkFb8cCA/edit?usp=sharing"",""หนองบัวลำภู!M280"")"),302697.36)</f>
        <v>302697.36</v>
      </c>
      <c r="O385" s="169">
        <f t="shared" ca="1" si="109"/>
        <v>29.430381519075954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IFERROR(__xludf.DUMMYFUNCTION("IMPORTRANGE(""https://docs.google.com/spreadsheets/d/1XL5vhW3sbDhbH9Cz0tuDiY8C3ctxq1tqvaCgkFb8cCA/edit?usp=sharing"",""หนองบัวลำภู!M283"")"),68933.36)</f>
        <v>68933.36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IFERROR(__xludf.DUMMYFUNCTION("IMPORTRANGE(""https://docs.google.com/spreadsheets/d/1XL5vhW3sbDhbH9Cz0tuDiY8C3ctxq1tqvaCgkFb8cCA/edit?usp=sharing"",""หนองบัวลำภู!M284"")"),35764)</f>
        <v>35764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IFERROR(__xludf.DUMMYFUNCTION("IMPORTRANGE(""https://docs.google.com/spreadsheets/d/1XL5vhW3sbDhbH9Cz0tuDiY8C3ctxq1tqvaCgkFb8cCA/edit?usp=sharing"",""หนองบัวลำภู!J295"")"),0)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IFERROR(__xludf.DUMMYFUNCTION("IMPORTRANGE(""https://docs.google.com/spreadsheets/d/1XL5vhW3sbDhbH9Cz0tuDiY8C3ctxq1tqvaCgkFb8cCA/edit?usp=sharing"",""หนองบัวลำภู!M296"")"),140613)</f>
        <v>140613</v>
      </c>
      <c r="O401" s="373">
        <f ca="1">+IF(L401&gt;0,N401*100/L401,0)</f>
        <v>87.91059706158174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IFERROR(__xludf.DUMMYFUNCTION("IMPORTRANGE(""https://docs.google.com/spreadsheets/d/1XL5vhW3sbDhbH9Cz0tuDiY8C3ctxq1tqvaCgkFb8cCA/edit?usp=sharing"",""หนองบัวลำภู!M299"")"),140613)</f>
        <v>140613</v>
      </c>
      <c r="O404" s="169">
        <f t="shared" ca="1" si="112"/>
        <v>87.91059706158174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IFERROR(__xludf.DUMMYFUNCTION("IMPORTRANGE(""https://docs.google.com/spreadsheets/d/1XL5vhW3sbDhbH9Cz0tuDiY8C3ctxq1tqvaCgkFb8cCA/edit?usp=sharing"",""หนองบัวลำภู!M301"")"),140613)</f>
        <v>140613</v>
      </c>
      <c r="O406" s="169">
        <f t="shared" ca="1" si="112"/>
        <v>87.91059706158174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IFERROR(__xludf.DUMMYFUNCTION("IMPORTRANGE(""https://docs.google.com/spreadsheets/d/1XL5vhW3sbDhbH9Cz0tuDiY8C3ctxq1tqvaCgkFb8cCA/edit?usp=sharing"",""หนองบัวลำภู!M305"")"),10563)</f>
        <v>10563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IFERROR(__xludf.DUMMYFUNCTION("IMPORTRANGE(""https://docs.google.com/spreadsheets/d/1XL5vhW3sbDhbH9Cz0tuDiY8C3ctxq1tqvaCgkFb8cCA/edit?usp=sharing"",""หนองบัวลำภู!J329"")"),0)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IFERROR(__xludf.DUMMYFUNCTION("IMPORTRANGE(""https://docs.google.com/spreadsheets/d/1XL5vhW3sbDhbH9Cz0tuDiY8C3ctxq1tqvaCgkFb8cCA/edit?usp=sharing"",""หนองบัวลำภู!J349"")"),0)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IFERROR(__xludf.DUMMYFUNCTION("IMPORTRANGE(""https://docs.google.com/spreadsheets/d/1XL5vhW3sbDhbH9Cz0tuDiY8C3ctxq1tqvaCgkFb8cCA/edit?usp=sharing"",""หนองบัวลำภู!J350"")"),42886.17)</f>
        <v>42886.17</v>
      </c>
      <c r="K455" s="372">
        <f ca="1">IF(I455&gt;0,J455*100/I455,0)</f>
        <v>100.00039639975749</v>
      </c>
      <c r="L455" s="373">
        <f ca="1">IFERROR(__xludf.DUMMYFUNCTION("IMPORTRANGE(""https://docs.google.com/spreadsheets/d/1XL5vhW3sbDhbH9Cz0tuDiY8C3ctxq1tqvaCgkFb8cCA/edit?usp=sharing"",""หนองบัวลำภู!L350"")"),733996)</f>
        <v>733996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IFERROR(__xludf.DUMMYFUNCTION("IMPORTRANGE(""https://docs.google.com/spreadsheets/d/1XL5vhW3sbDhbH9Cz0tuDiY8C3ctxq1tqvaCgkFb8cCA/edit?usp=sharing"",""หนองบัวลำภู!M350"")"),222877.06)</f>
        <v>222877.06</v>
      </c>
      <c r="O455" s="373">
        <f t="shared" ref="O455:O459" ca="1" si="116">+IF(L455&gt;0,N455*100/L455,0)</f>
        <v>30.364887547071103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IFERROR(__xludf.DUMMYFUNCTION("IMPORTRANGE(""https://docs.google.com/spreadsheets/d/1XL5vhW3sbDhbH9Cz0tuDiY8C3ctxq1tqvaCgkFb8cCA/edit?usp=sharing"",""หนองบัวลำภู!L352"")"),733996)</f>
        <v>733996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IFERROR(__xludf.DUMMYFUNCTION("IMPORTRANGE(""https://docs.google.com/spreadsheets/d/1XL5vhW3sbDhbH9Cz0tuDiY8C3ctxq1tqvaCgkFb8cCA/edit?usp=sharing"",""หนองบัวลำภู!M352"")"),222877.06)</f>
        <v>222877.06</v>
      </c>
      <c r="O457" s="169">
        <f t="shared" ca="1" si="116"/>
        <v>30.364887547071103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IFERROR(__xludf.DUMMYFUNCTION("IMPORTRANGE(""https://docs.google.com/spreadsheets/d/1XL5vhW3sbDhbH9Cz0tuDiY8C3ctxq1tqvaCgkFb8cCA/edit?usp=sharing"",""หนองบัวลำภู!L354"")"),733996)</f>
        <v>733996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IFERROR(__xludf.DUMMYFUNCTION("IMPORTRANGE(""https://docs.google.com/spreadsheets/d/1XL5vhW3sbDhbH9Cz0tuDiY8C3ctxq1tqvaCgkFb8cCA/edit?usp=sharing"",""หนองบัวลำภู!M354"")"),222877.06)</f>
        <v>222877.06</v>
      </c>
      <c r="O459" s="169">
        <f t="shared" ca="1" si="116"/>
        <v>30.364887547071103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IFERROR(__xludf.DUMMYFUNCTION("IMPORTRANGE(""https://docs.google.com/spreadsheets/d/1XL5vhW3sbDhbH9Cz0tuDiY8C3ctxq1tqvaCgkFb8cCA/edit?usp=sharing"",""หนองบัวลำภู!M357"")"),61600.06)</f>
        <v>61600.06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IFERROR(__xludf.DUMMYFUNCTION("IMPORTRANGE(""https://docs.google.com/spreadsheets/d/1XL5vhW3sbDhbH9Cz0tuDiY8C3ctxq1tqvaCgkFb8cCA/edit?usp=sharing"",""หนองบัวลำภู!M358"")"),161277)</f>
        <v>161277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7">
        <f ca="1">IFERROR(__xludf.DUMMYFUNCTION("IMPORTRANGE(""https://docs.google.com/spreadsheets/d/1XL5vhW3sbDhbH9Cz0tuDiY8C3ctxq1tqvaCgkFb8cCA/edit?usp=sharing"",""หนองบัวลำภู!J359"")"),42886.17)</f>
        <v>42886.17</v>
      </c>
      <c r="K464" s="268">
        <f t="shared" ref="K464:K515" ca="1" si="117">IF(I464&gt;0,J464*100/I464,0)</f>
        <v>100.00039639975749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IFERROR(__xludf.DUMMYFUNCTION("IMPORTRANGE(""https://docs.google.com/spreadsheets/d/1XL5vhW3sbDhbH9Cz0tuDiY8C3ctxq1tqvaCgkFb8cCA/edit?usp=sharing"",""หนองบัวลำภู!J376"")"),42886.17)</f>
        <v>42886.17</v>
      </c>
      <c r="K481" s="202">
        <f t="shared" ca="1" si="117"/>
        <v>100.00039639975749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IFERROR(__xludf.DUMMYFUNCTION("IMPORTRANGE(""https://docs.google.com/spreadsheets/d/1XL5vhW3sbDhbH9Cz0tuDiY8C3ctxq1tqvaCgkFb8cCA/edit?usp=sharing"",""หนองบัวลำภู!J378"")"),36012.9)</f>
        <v>36012.9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IFERROR(__xludf.DUMMYFUNCTION("IMPORTRANGE(""https://docs.google.com/spreadsheets/d/1XL5vhW3sbDhbH9Cz0tuDiY8C3ctxq1tqvaCgkFb8cCA/edit?usp=sharing"",""หนองบัวลำภู!J379"")"),3484)</f>
        <v>3484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IFERROR(__xludf.DUMMYFUNCTION("IMPORTRANGE(""https://docs.google.com/spreadsheets/d/1XL5vhW3sbDhbH9Cz0tuDiY8C3ctxq1tqvaCgkFb8cCA/edit?usp=sharing"",""หนองบัวลำภู!J380"")"),5327.57)</f>
        <v>5327.57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IFERROR(__xludf.DUMMYFUNCTION("IMPORTRANGE(""https://docs.google.com/spreadsheets/d/1XL5vhW3sbDhbH9Cz0tuDiY8C3ctxq1tqvaCgkFb8cCA/edit?usp=sharing"",""หนองบัวลำภู!J381"")"),631)</f>
        <v>631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IFERROR(__xludf.DUMMYFUNCTION("IMPORTRANGE(""https://docs.google.com/spreadsheets/d/1XL5vhW3sbDhbH9Cz0tuDiY8C3ctxq1tqvaCgkFb8cCA/edit?usp=sharing"",""หนองบัวลำภู!J382"")"),1545.7)</f>
        <v>1545.7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IFERROR(__xludf.DUMMYFUNCTION("IMPORTRANGE(""https://docs.google.com/spreadsheets/d/1XL5vhW3sbDhbH9Cz0tuDiY8C3ctxq1tqvaCgkFb8cCA/edit?usp=sharing"",""หนองบัวลำภู!J384"")"),1539.65)</f>
        <v>1539.65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IFERROR(__xludf.DUMMYFUNCTION("IMPORTRANGE(""https://docs.google.com/spreadsheets/d/1XL5vhW3sbDhbH9Cz0tuDiY8C3ctxq1tqvaCgkFb8cCA/edit?usp=sharing"",""หนองบัวลำภู!J385"")"),107)</f>
        <v>107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IFERROR(__xludf.DUMMYFUNCTION("IMPORTRANGE(""https://docs.google.com/spreadsheets/d/1XL5vhW3sbDhbH9Cz0tuDiY8C3ctxq1tqvaCgkFb8cCA/edit?usp=sharing"",""หนองบัวลำภู!J386"")"),6.05)</f>
        <v>6.05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202">
        <f t="shared" ca="1" si="117"/>
        <v>100.00925925925925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IFERROR(__xludf.DUMMYFUNCTION("IMPORTRANGE(""https://docs.google.com/spreadsheets/d/1XL5vhW3sbDhbH9Cz0tuDiY8C3ctxq1tqvaCgkFb8cCA/edit?usp=sharing"",""หนองบัวลำภู!J396"")"),850)</f>
        <v>850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IFERROR(__xludf.DUMMYFUNCTION("IMPORTRANGE(""https://docs.google.com/spreadsheets/d/1XL5vhW3sbDhbH9Cz0tuDiY8C3ctxq1tqvaCgkFb8cCA/edit?usp=sharing"",""หนองบัวลำภู!J398"")"),154)</f>
        <v>154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IFERROR(__xludf.DUMMYFUNCTION("IMPORTRANGE(""https://docs.google.com/spreadsheets/d/1XL5vhW3sbDhbH9Cz0tuDiY8C3ctxq1tqvaCgkFb8cCA/edit?usp=sharing"",""หนองบัวลำภู!J400"")"),696)</f>
        <v>696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IFERROR(__xludf.DUMMYFUNCTION("IMPORTRANGE(""https://docs.google.com/spreadsheets/d/1XL5vhW3sbDhbH9Cz0tuDiY8C3ctxq1tqvaCgkFb8cCA/edit?usp=sharing"",""หนองบัวลำภู!I411"")"),0)</f>
        <v>0</v>
      </c>
      <c r="J516" s="267">
        <f ca="1">IFERROR(__xludf.DUMMYFUNCTION("IMPORTRANGE(""https://docs.google.com/spreadsheets/d/1XL5vhW3sbDhbH9Cz0tuDiY8C3ctxq1tqvaCgkFb8cCA/edit?usp=sharing"",""หนองบัวลำภู!J411"")"),0)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IFERROR(__xludf.DUMMYFUNCTION("IMPORTRANGE(""https://docs.google.com/spreadsheets/d/1XL5vhW3sbDhbH9Cz0tuDiY8C3ctxq1tqvaCgkFb8cCA/edit?usp=sharing"",""หนองบัวลำภู!I412"")"),0)</f>
        <v>0</v>
      </c>
      <c r="J517" s="284">
        <f ca="1">IFERROR(__xludf.DUMMYFUNCTION("IMPORTRANGE(""https://docs.google.com/spreadsheets/d/1XL5vhW3sbDhbH9Cz0tuDiY8C3ctxq1tqvaCgkFb8cCA/edit?usp=sharing"",""หนองบัวลำภู!J412"")"),0)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IFERROR(__xludf.DUMMYFUNCTION("IMPORTRANGE(""https://docs.google.com/spreadsheets/d/1XL5vhW3sbDhbH9Cz0tuDiY8C3ctxq1tqvaCgkFb8cCA/edit?usp=sharing"",""หนองบัวลำภู!I413"")"),0)</f>
        <v>0</v>
      </c>
      <c r="J518" s="284">
        <f ca="1">IFERROR(__xludf.DUMMYFUNCTION("IMPORTRANGE(""https://docs.google.com/spreadsheets/d/1XL5vhW3sbDhbH9Cz0tuDiY8C3ctxq1tqvaCgkFb8cCA/edit?usp=sharing"",""หนองบัวลำภู!J413"")"),0)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IFERROR(__xludf.DUMMYFUNCTION("IMPORTRANGE(""https://docs.google.com/spreadsheets/d/1XL5vhW3sbDhbH9Cz0tuDiY8C3ctxq1tqvaCgkFb8cCA/edit?usp=sharing"",""หนองบัวลำภู!I420"")"),0)</f>
        <v>0</v>
      </c>
      <c r="J525" s="284">
        <f ca="1">IFERROR(__xludf.DUMMYFUNCTION("IMPORTRANGE(""https://docs.google.com/spreadsheets/d/1XL5vhW3sbDhbH9Cz0tuDiY8C3ctxq1tqvaCgkFb8cCA/edit?usp=sharing"",""หนองบัวลำภู!J420"")"),0)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IFERROR(__xludf.DUMMYFUNCTION("IMPORTRANGE(""https://docs.google.com/spreadsheets/d/1XL5vhW3sbDhbH9Cz0tuDiY8C3ctxq1tqvaCgkFb8cCA/edit?usp=sharing"",""หนองบัวลำภู!I421"")"),0)</f>
        <v>0</v>
      </c>
      <c r="J526" s="284">
        <f ca="1">IFERROR(__xludf.DUMMYFUNCTION("IMPORTRANGE(""https://docs.google.com/spreadsheets/d/1XL5vhW3sbDhbH9Cz0tuDiY8C3ctxq1tqvaCgkFb8cCA/edit?usp=sharing"",""หนองบัวลำภู!J421"")"),0)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69">
        <f t="shared" ca="1" si="118"/>
        <v>87.489807804309848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69">
        <f t="shared" ca="1" si="118"/>
        <v>87.489807804309848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IFERROR(__xludf.DUMMYFUNCTION("IMPORTRANGE(""https://docs.google.com/spreadsheets/d/1XL5vhW3sbDhbH9Cz0tuDiY8C3ctxq1tqvaCgkFb8cCA/edit?usp=sharing"",""หนองบัวลำภู!J446"")"),1790)</f>
        <v>1790</v>
      </c>
      <c r="K551" s="411">
        <f ca="1">IF(I551&gt;0,J551*100/I551,0)</f>
        <v>35.799999999999997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IFERROR(__xludf.DUMMYFUNCTION("IMPORTRANGE(""https://docs.google.com/spreadsheets/d/1XL5vhW3sbDhbH9Cz0tuDiY8C3ctxq1tqvaCgkFb8cCA/edit?usp=sharing"",""หนองบัวลำภู!M446"")"),222255.29)</f>
        <v>222255.29</v>
      </c>
      <c r="O551" s="412">
        <f t="shared" ref="O551:O555" ca="1" si="120">+IF(L551&gt;0,N551*100/L551,0)</f>
        <v>71.695254838709673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IFERROR(__xludf.DUMMYFUNCTION("IMPORTRANGE(""https://docs.google.com/spreadsheets/d/1XL5vhW3sbDhbH9Cz0tuDiY8C3ctxq1tqvaCgkFb8cCA/edit?usp=sharing"",""หนองบัวลำภู!M448"")"),222255.29)</f>
        <v>222255.29</v>
      </c>
      <c r="O553" s="169">
        <f t="shared" ca="1" si="120"/>
        <v>71.695254838709673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IFERROR(__xludf.DUMMYFUNCTION("IMPORTRANGE(""https://docs.google.com/spreadsheets/d/1XL5vhW3sbDhbH9Cz0tuDiY8C3ctxq1tqvaCgkFb8cCA/edit?usp=sharing"",""หนองบัวลำภู!M450"")"),222255.29)</f>
        <v>222255.29</v>
      </c>
      <c r="O555" s="169">
        <f t="shared" ca="1" si="120"/>
        <v>71.695254838709673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IFERROR(__xludf.DUMMYFUNCTION("IMPORTRANGE(""https://docs.google.com/spreadsheets/d/1XL5vhW3sbDhbH9Cz0tuDiY8C3ctxq1tqvaCgkFb8cCA/edit?usp=sharing"",""หนองบัวลำภู!M453"")"),64200)</f>
        <v>64200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IFERROR(__xludf.DUMMYFUNCTION("IMPORTRANGE(""https://docs.google.com/spreadsheets/d/1XL5vhW3sbDhbH9Cz0tuDiY8C3ctxq1tqvaCgkFb8cCA/edit?usp=sharing"",""หนองบัวลำภู!M454"")"),158055.29)</f>
        <v>158055.29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IFERROR(__xludf.DUMMYFUNCTION("IMPORTRANGE(""https://docs.google.com/spreadsheets/d/1XL5vhW3sbDhbH9Cz0tuDiY8C3ctxq1tqvaCgkFb8cCA/edit?usp=sharing"",""หนองบัวลำภู!J455"")"),1790)</f>
        <v>1790</v>
      </c>
      <c r="K560" s="224">
        <f t="shared" ref="K560:K561" ca="1" si="121">IF(I560&gt;0,J560*100/I560,0)</f>
        <v>35.799999999999997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IFERROR(__xludf.DUMMYFUNCTION("IMPORTRANGE(""https://docs.google.com/spreadsheets/d/1XL5vhW3sbDhbH9Cz0tuDiY8C3ctxq1tqvaCgkFb8cCA/edit?usp=sharing"",""หนองบัวลำภู!J456"")"),75)</f>
        <v>75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IFERROR(__xludf.DUMMYFUNCTION("IMPORTRANGE(""https://docs.google.com/spreadsheets/d/1XL5vhW3sbDhbH9Cz0tuDiY8C3ctxq1tqvaCgkFb8cCA/edit?usp=sharing"",""หนองบัวลำภู!J459"")"),4531)</f>
        <v>4531</v>
      </c>
      <c r="K564" s="372">
        <f ca="1">IF(I564&gt;0,J564*100/I564,0)</f>
        <v>119.23684210526316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IFERROR(__xludf.DUMMYFUNCTION("IMPORTRANGE(""https://docs.google.com/spreadsheets/d/1XL5vhW3sbDhbH9Cz0tuDiY8C3ctxq1tqvaCgkFb8cCA/edit?usp=sharing"",""หนองบัวลำภู!M459"")"),62779.84)</f>
        <v>62779.839999999997</v>
      </c>
      <c r="O564" s="373">
        <f t="shared" ref="O564:O568" ca="1" si="122">+IF(L564&gt;0,N564*100/L564,0)</f>
        <v>41.08628272251309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IFERROR(__xludf.DUMMYFUNCTION("IMPORTRANGE(""https://docs.google.com/spreadsheets/d/1XL5vhW3sbDhbH9Cz0tuDiY8C3ctxq1tqvaCgkFb8cCA/edit?usp=sharing"",""หนองบัวลำภู!M461"")"),62779.84)</f>
        <v>62779.839999999997</v>
      </c>
      <c r="O566" s="169">
        <f t="shared" ca="1" si="122"/>
        <v>41.08628272251309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IFERROR(__xludf.DUMMYFUNCTION("IMPORTRANGE(""https://docs.google.com/spreadsheets/d/1XL5vhW3sbDhbH9Cz0tuDiY8C3ctxq1tqvaCgkFb8cCA/edit?usp=sharing"",""หนองบัวลำภู!M463"")"),62779.84)</f>
        <v>62779.839999999997</v>
      </c>
      <c r="O568" s="169">
        <f t="shared" ca="1" si="122"/>
        <v>41.08628272251309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IFERROR(__xludf.DUMMYFUNCTION("IMPORTRANGE(""https://docs.google.com/spreadsheets/d/1XL5vhW3sbDhbH9Cz0tuDiY8C3ctxq1tqvaCgkFb8cCA/edit?usp=sharing"",""หนองบัวลำภู!M466"")"),52066.64)</f>
        <v>52066.64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IFERROR(__xludf.DUMMYFUNCTION("IMPORTRANGE(""https://docs.google.com/spreadsheets/d/1XL5vhW3sbDhbH9Cz0tuDiY8C3ctxq1tqvaCgkFb8cCA/edit?usp=sharing"",""หนองบัวลำภู!M467"")"),10713.2)</f>
        <v>10713.2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IFERROR(__xludf.DUMMYFUNCTION("IMPORTRANGE(""https://docs.google.com/spreadsheets/d/1XL5vhW3sbDhbH9Cz0tuDiY8C3ctxq1tqvaCgkFb8cCA/edit?usp=sharing"",""หนองบัวลำภู!J468"")"),4531)</f>
        <v>4531</v>
      </c>
      <c r="K573" s="202">
        <f ca="1">IF(I573&gt;0,J573*100/I573,0)</f>
        <v>119.23684210526316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IFERROR(__xludf.DUMMYFUNCTION("IMPORTRANGE(""https://docs.google.com/spreadsheets/d/1XL5vhW3sbDhbH9Cz0tuDiY8C3ctxq1tqvaCgkFb8cCA/edit?usp=sharing"",""หนองบัวลำภู!I470"")"),0)</f>
        <v>0</v>
      </c>
      <c r="J575" s="198">
        <f ca="1">IFERROR(__xludf.DUMMYFUNCTION("IMPORTRANGE(""https://docs.google.com/spreadsheets/d/1XL5vhW3sbDhbH9Cz0tuDiY8C3ctxq1tqvaCgkFb8cCA/edit?usp=sharing"",""หนองบัวลำภู!J470"")"),4)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IFERROR(__xludf.DUMMYFUNCTION("IMPORTRANGE(""https://docs.google.com/spreadsheets/d/1XL5vhW3sbDhbH9Cz0tuDiY8C3ctxq1tqvaCgkFb8cCA/edit?usp=sharing"",""หนองบัวลำภู!J471"")"),235)</f>
        <v>235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IFERROR(__xludf.DUMMYFUNCTION("IMPORTRANGE(""https://docs.google.com/spreadsheets/d/1XL5vhW3sbDhbH9Cz0tuDiY8C3ctxq1tqvaCgkFb8cCA/edit?usp=sharing"",""หนองบัวลำภู!J472"")"),4296)</f>
        <v>4296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IFERROR(__xludf.DUMMYFUNCTION("IMPORTRANGE(""https://docs.google.com/spreadsheets/d/1XL5vhW3sbDhbH9Cz0tuDiY8C3ctxq1tqvaCgkFb8cCA/edit?usp=sharing"",""หนองบัวลำภู!M475"")"),106220.03)</f>
        <v>106220.03</v>
      </c>
      <c r="O580" s="373">
        <f t="shared" ref="O580:O584" ca="1" si="124">+IF(L580&gt;0,N580*100/L580,0)</f>
        <v>32.478223513224279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IFERROR(__xludf.DUMMYFUNCTION("IMPORTRANGE(""https://docs.google.com/spreadsheets/d/1XL5vhW3sbDhbH9Cz0tuDiY8C3ctxq1tqvaCgkFb8cCA/edit?usp=sharing"",""หนองบัวลำภู!M477"")"),106220.03)</f>
        <v>106220.03</v>
      </c>
      <c r="O582" s="169">
        <f t="shared" ca="1" si="124"/>
        <v>32.478223513224279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IFERROR(__xludf.DUMMYFUNCTION("IMPORTRANGE(""https://docs.google.com/spreadsheets/d/1XL5vhW3sbDhbH9Cz0tuDiY8C3ctxq1tqvaCgkFb8cCA/edit?usp=sharing"",""หนองบัวลำภู!M479"")"),106220.03)</f>
        <v>106220.03</v>
      </c>
      <c r="O584" s="169">
        <f t="shared" ca="1" si="124"/>
        <v>32.478223513224279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IFERROR(__xludf.DUMMYFUNCTION("IMPORTRANGE(""https://docs.google.com/spreadsheets/d/1XL5vhW3sbDhbH9Cz0tuDiY8C3ctxq1tqvaCgkFb8cCA/edit?usp=sharing"",""หนองบัวลำภู!M482"")"),69300.03)</f>
        <v>69300.03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IFERROR(__xludf.DUMMYFUNCTION("IMPORTRANGE(""https://docs.google.com/spreadsheets/d/1XL5vhW3sbDhbH9Cz0tuDiY8C3ctxq1tqvaCgkFb8cCA/edit?usp=sharing"",""หนองบัวลำภู!M483"")"),36920)</f>
        <v>36920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IFERROR(__xludf.DUMMYFUNCTION("IMPORTRANGE(""https://docs.google.com/spreadsheets/d/1XL5vhW3sbDhbH9Cz0tuDiY8C3ctxq1tqvaCgkFb8cCA/edit?usp=sharing"",""หนองบัวลำภู!J484"")"),163)</f>
        <v>163</v>
      </c>
      <c r="K589" s="163">
        <f t="shared" ref="K589:K596" ca="1" si="125">IF(I589&gt;0,J589*100/I589,0)</f>
        <v>108.66666666666667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IFERROR(__xludf.DUMMYFUNCTION("IMPORTRANGE(""https://docs.google.com/spreadsheets/d/1XL5vhW3sbDhbH9Cz0tuDiY8C3ctxq1tqvaCgkFb8cCA/edit?usp=sharing"",""หนองบัวลำภู!J485"")"),88.93)</f>
        <v>88.93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IFERROR(__xludf.DUMMYFUNCTION("IMPORTRANGE(""https://docs.google.com/spreadsheets/d/1XL5vhW3sbDhbH9Cz0tuDiY8C3ctxq1tqvaCgkFb8cCA/edit?usp=sharing"",""หนองบัวลำภู!J486"")"),37)</f>
        <v>37</v>
      </c>
      <c r="K591" s="163">
        <f t="shared" ca="1" si="125"/>
        <v>24.666666666666668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IFERROR(__xludf.DUMMYFUNCTION("IMPORTRANGE(""https://docs.google.com/spreadsheets/d/1XL5vhW3sbDhbH9Cz0tuDiY8C3ctxq1tqvaCgkFb8cCA/edit?usp=sharing"",""หนองบัวลำภู!J487"")"),22.02)</f>
        <v>22.02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IFERROR(__xludf.DUMMYFUNCTION("IMPORTRANGE(""https://docs.google.com/spreadsheets/d/1XL5vhW3sbDhbH9Cz0tuDiY8C3ctxq1tqvaCgkFb8cCA/edit?usp=sharing"",""หนองบัวลำภู!I491"")"),0)</f>
        <v>0</v>
      </c>
      <c r="J596" s="241">
        <f ca="1">IFERROR(__xludf.DUMMYFUNCTION("IMPORTRANGE(""https://docs.google.com/spreadsheets/d/1XL5vhW3sbDhbH9Cz0tuDiY8C3ctxq1tqvaCgkFb8cCA/edit?usp=sharing"",""หนองบัวลำภู!J491"")"),0)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7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IFERROR(__xludf.DUMMYFUNCTION("IMPORTRANGE(""https://docs.google.com/spreadsheets/d/1XL5vhW3sbDhbH9Cz0tuDiY8C3ctxq1tqvaCgkFb8cCA/edit?usp=sharing"",""หนองบัวลำภู!M492"")"),3005)</f>
        <v>3005</v>
      </c>
      <c r="O597" s="412">
        <f t="shared" ref="O597:O601" ca="1" si="126">+IF(L597&gt;0,N597*100/L597,0)</f>
        <v>26.592920353982301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IFERROR(__xludf.DUMMYFUNCTION("IMPORTRANGE(""https://docs.google.com/spreadsheets/d/1XL5vhW3sbDhbH9Cz0tuDiY8C3ctxq1tqvaCgkFb8cCA/edit?usp=sharing"",""หนองบัวลำภู!M494"")"),3005)</f>
        <v>3005</v>
      </c>
      <c r="O599" s="169">
        <f t="shared" ca="1" si="126"/>
        <v>26.592920353982301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IFERROR(__xludf.DUMMYFUNCTION("IMPORTRANGE(""https://docs.google.com/spreadsheets/d/1XL5vhW3sbDhbH9Cz0tuDiY8C3ctxq1tqvaCgkFb8cCA/edit?usp=sharing"",""หนองบัวลำภู!M496"")"),3005)</f>
        <v>3005</v>
      </c>
      <c r="O601" s="169">
        <f t="shared" ca="1" si="126"/>
        <v>26.592920353982301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IFERROR(__xludf.DUMMYFUNCTION("IMPORTRANGE(""https://docs.google.com/spreadsheets/d/1XL5vhW3sbDhbH9Cz0tuDiY8C3ctxq1tqvaCgkFb8cCA/edit?usp=sharing"",""หนองบัวลำภู!M500"")"),3005)</f>
        <v>3005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IFERROR(__xludf.DUMMYFUNCTION("IMPORTRANGE(""https://docs.google.com/spreadsheets/d/1XL5vhW3sbDhbH9Cz0tuDiY8C3ctxq1tqvaCgkFb8cCA/edit?usp=sharing"",""หนองบัวลำภู!J166"")"),0)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IFERROR(__xludf.DUMMYFUNCTION("IMPORTRANGE(""https://docs.google.com/spreadsheets/d/1XL5vhW3sbDhbH9Cz0tuDiY8C3ctxq1tqvaCgkFb8cCA/edit?usp=sharing"",""หนองบัวลำภู!J166"")"),0)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1">
        <f ca="1">IFERROR(__xludf.DUMMYFUNCTION("IMPORTRANGE(""https://docs.google.com/spreadsheets/d/1XL5vhW3sbDhbH9Cz0tuDiY8C3ctxq1tqvaCgkFb8cCA/edit?usp=sharing"",""หนองบัวลำภู!J523"")"),3171795.55)</f>
        <v>3171795.55</v>
      </c>
      <c r="K628" s="342">
        <f t="shared" ref="K628:K635" ca="1" si="129">IF(I628&gt;0,J628*100/I628,0)</f>
        <v>81.233010078531578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IFERROR(__xludf.DUMMYFUNCTION("IMPORTRANGE(""https://docs.google.com/spreadsheets/d/1XL5vhW3sbDhbH9Cz0tuDiY8C3ctxq1tqvaCgkFb8cCA/edit?usp=sharing"",""หนองบัวลำภู!I524"")"),256)</f>
        <v>256</v>
      </c>
      <c r="J629" s="341">
        <f ca="1">IFERROR(__xludf.DUMMYFUNCTION("IMPORTRANGE(""https://docs.google.com/spreadsheets/d/1XL5vhW3sbDhbH9Cz0tuDiY8C3ctxq1tqvaCgkFb8cCA/edit?usp=sharing"",""หนองบัวลำภู!J524"")"),213)</f>
        <v>213</v>
      </c>
      <c r="K629" s="342">
        <f t="shared" ca="1" si="129"/>
        <v>83.203125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1">
        <f ca="1">IFERROR(__xludf.DUMMYFUNCTION("IMPORTRANGE(""https://docs.google.com/spreadsheets/d/1XL5vhW3sbDhbH9Cz0tuDiY8C3ctxq1tqvaCgkFb8cCA/edit?usp=sharing"",""หนองบัวลำภู!J525"")"),657681.31)</f>
        <v>657681.31000000006</v>
      </c>
      <c r="K630" s="342">
        <f t="shared" ca="1" si="129"/>
        <v>22.833195655006502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IFERROR(__xludf.DUMMYFUNCTION("IMPORTRANGE(""https://docs.google.com/spreadsheets/d/1XL5vhW3sbDhbH9Cz0tuDiY8C3ctxq1tqvaCgkFb8cCA/edit?usp=sharing"",""หนองบัวลำภู!I526"")"),132)</f>
        <v>132</v>
      </c>
      <c r="J631" s="341">
        <f ca="1">IFERROR(__xludf.DUMMYFUNCTION("IMPORTRANGE(""https://docs.google.com/spreadsheets/d/1XL5vhW3sbDhbH9Cz0tuDiY8C3ctxq1tqvaCgkFb8cCA/edit?usp=sharing"",""หนองบัวลำภู!J526"")"),104)</f>
        <v>104</v>
      </c>
      <c r="K631" s="342">
        <f t="shared" ca="1" si="129"/>
        <v>78.787878787878782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IFERROR(__xludf.DUMMYFUNCTION("IMPORTRANGE(""https://docs.google.com/spreadsheets/d/1XL5vhW3sbDhbH9Cz0tuDiY8C3ctxq1tqvaCgkFb8cCA/edit?usp=sharing"",""หนองบัวลำภู!I527"")"),0)</f>
        <v>0</v>
      </c>
      <c r="J632" s="341">
        <f ca="1">IFERROR(__xludf.DUMMYFUNCTION("IMPORTRANGE(""https://docs.google.com/spreadsheets/d/1XL5vhW3sbDhbH9Cz0tuDiY8C3ctxq1tqvaCgkFb8cCA/edit?usp=sharing"",""หนองบัวลำภู!J527"")"),0)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IFERROR(__xludf.DUMMYFUNCTION("IMPORTRANGE(""https://docs.google.com/spreadsheets/d/1XL5vhW3sbDhbH9Cz0tuDiY8C3ctxq1tqvaCgkFb8cCA/edit?usp=sharing"",""หนองบัวลำภู!I528"")"),0)</f>
        <v>0</v>
      </c>
      <c r="J633" s="341">
        <f ca="1">IFERROR(__xludf.DUMMYFUNCTION("IMPORTRANGE(""https://docs.google.com/spreadsheets/d/1XL5vhW3sbDhbH9Cz0tuDiY8C3ctxq1tqvaCgkFb8cCA/edit?usp=sharing"",""หนองบัวลำภู!J528"")"),0)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1">
        <f ca="1">IFERROR(__xludf.DUMMYFUNCTION("IMPORTRANGE(""https://docs.google.com/spreadsheets/d/1XL5vhW3sbDhbH9Cz0tuDiY8C3ctxq1tqvaCgkFb8cCA/edit?usp=sharing"",""หนองบัวลำภู!J529"")"),2000000)</f>
        <v>2000000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IFERROR(__xludf.DUMMYFUNCTION("IMPORTRANGE(""https://docs.google.com/spreadsheets/d/1XL5vhW3sbDhbH9Cz0tuDiY8C3ctxq1tqvaCgkFb8cCA/edit?usp=sharing"",""หนองบัวลำภู!I530"")"),67)</f>
        <v>67</v>
      </c>
      <c r="J635" s="504">
        <f ca="1">IFERROR(__xludf.DUMMYFUNCTION("IMPORTRANGE(""https://docs.google.com/spreadsheets/d/1XL5vhW3sbDhbH9Cz0tuDiY8C3ctxq1tqvaCgkFb8cCA/edit?usp=sharing"",""หนองบัวลำภู!J530"")"),56)</f>
        <v>56</v>
      </c>
      <c r="K635" s="486">
        <f t="shared" ca="1" si="129"/>
        <v>83.582089552238813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5720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5720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5720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IFERROR(__xludf.DUMMYFUNCTION("IMPORTRANGE(""https://docs.google.com/spreadsheets/d/1XL5vhW3sbDhbH9Cz0tuDiY8C3ctxq1tqvaCgkFb8cCA/edit#gid=346597447"",""หนองบัวลำภู!J541"")"),0)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IFERROR(__xludf.DUMMYFUNCTION("IMPORTRANGE(""https://docs.google.com/spreadsheets/d/1XL5vhW3sbDhbH9Cz0tuDiY8C3ctxq1tqvaCgkFb8cCA/edit#gid=346597447"",""หนองบัวลำภู!J542"")"),1)</f>
        <v>1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IFERROR(__xludf.DUMMYFUNCTION("IMPORTRANGE(""https://docs.google.com/spreadsheets/d/1XL5vhW3sbDhbH9Cz0tuDiY8C3ctxq1tqvaCgkFb8cCA/edit#gid=346597447"",""หนองบัวลำภู!I543"")"),55)</f>
        <v>55</v>
      </c>
      <c r="J648" s="585">
        <f ca="1">IFERROR(__xludf.DUMMYFUNCTION("IMPORTRANGE(""https://docs.google.com/spreadsheets/d/1XL5vhW3sbDhbH9Cz0tuDiY8C3ctxq1tqvaCgkFb8cCA/edit#gid=346597447"",""หนองบัวลำภู!J543"")"),0)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IFERROR(__xludf.DUMMYFUNCTION("IMPORTRANGE(""https://docs.google.com/spreadsheets/d/1XL5vhW3sbDhbH9Cz0tuDiY8C3ctxq1tqvaCgkFb8cCA/edit#gid=346597447"",""หนองบัวลำภู!L543"")"),4400)</f>
        <v>4400</v>
      </c>
      <c r="M648" s="570"/>
      <c r="N648" s="587">
        <f ca="1">IFERROR(__xludf.DUMMYFUNCTION("IMPORTRANGE(""https://docs.google.com/spreadsheets/d/1XL5vhW3sbDhbH9Cz0tuDiY8C3ctxq1tqvaCgkFb8cCA/edit#gid=346597447"",""หนองบัวลำภู!M543"")"),0)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IFERROR(__xludf.DUMMYFUNCTION("IMPORTRANGE(""https://docs.google.com/spreadsheets/d/1XL5vhW3sbDhbH9Cz0tuDiY8C3ctxq1tqvaCgkFb8cCA/edit#gid=346597447"",""หนองบัวลำภู!I544"")"),11)</f>
        <v>11</v>
      </c>
      <c r="J649" s="585">
        <f ca="1">IFERROR(__xludf.DUMMYFUNCTION("IMPORTRANGE(""https://docs.google.com/spreadsheets/d/1XL5vhW3sbDhbH9Cz0tuDiY8C3ctxq1tqvaCgkFb8cCA/edit#gid=346597447"",""หนองบัวลำภู!J544"")"),0)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IFERROR(__xludf.DUMMYFUNCTION("IMPORTRANGE(""https://docs.google.com/spreadsheets/d/1XL5vhW3sbDhbH9Cz0tuDiY8C3ctxq1tqvaCgkFb8cCA/edit#gid=346597447"",""หนองบัวลำภู!L544"")"),1320)</f>
        <v>1320</v>
      </c>
      <c r="M649" s="570"/>
      <c r="N649" s="587">
        <f ca="1">IFERROR(__xludf.DUMMYFUNCTION("IMPORTRANGE(""https://docs.google.com/spreadsheets/d/1XL5vhW3sbDhbH9Cz0tuDiY8C3ctxq1tqvaCgkFb8cCA/edit#gid=346597447"",""หนองบัวลำภู!M544"")"),0)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IFERROR(__xludf.DUMMYFUNCTION("IMPORTRANGE(""https://docs.google.com/spreadsheets/d/1XL5vhW3sbDhbH9Cz0tuDiY8C3ctxq1tqvaCgkFb8cCA/edit#gid=346597447"",""หนองบัวลำภู!I545"")"),0)</f>
        <v>0</v>
      </c>
      <c r="J650" s="585">
        <f ca="1">IFERROR(__xludf.DUMMYFUNCTION("IMPORTRANGE(""https://docs.google.com/spreadsheets/d/1XL5vhW3sbDhbH9Cz0tuDiY8C3ctxq1tqvaCgkFb8cCA/edit#gid=346597447"",""หนองบัวลำภู!J545"")"),0)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IFERROR(__xludf.DUMMYFUNCTION("IMPORTRANGE(""https://docs.google.com/spreadsheets/d/1XL5vhW3sbDhbH9Cz0tuDiY8C3ctxq1tqvaCgkFb8cCA/edit#gid=346597447"",""หนองบัวลำภู!L545"")"),0)</f>
        <v>0</v>
      </c>
      <c r="M650" s="570"/>
      <c r="N650" s="587">
        <f ca="1">IFERROR(__xludf.DUMMYFUNCTION("IMPORTRANGE(""https://docs.google.com/spreadsheets/d/1XL5vhW3sbDhbH9Cz0tuDiY8C3ctxq1tqvaCgkFb8cCA/edit#gid=346597447"",""หนองบัวลำภู!M545"")"),0)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IFERROR(__xludf.DUMMYFUNCTION("IMPORTRANGE(""https://docs.google.com/spreadsheets/d/1XL5vhW3sbDhbH9Cz0tuDiY8C3ctxq1tqvaCgkFb8cCA/edit#gid=346597447"",""หนองบัวลำภู!I546"")"),0)</f>
        <v>0</v>
      </c>
      <c r="J651" s="585">
        <f ca="1">J657+J660</f>
        <v>56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IFERROR(__xludf.DUMMYFUNCTION("IMPORTRANGE(""https://docs.google.com/spreadsheets/d/1XL5vhW3sbDhbH9Cz0tuDiY8C3ctxq1tqvaCgkFb8cCA/edit#gid=346597447"",""หนองบัวลำภู!L546"")"),0)</f>
        <v>0</v>
      </c>
      <c r="M651" s="570"/>
      <c r="N651" s="587">
        <f ca="1">IFERROR(__xludf.DUMMYFUNCTION("IMPORTRANGE(""https://docs.google.com/spreadsheets/d/1XL5vhW3sbDhbH9Cz0tuDiY8C3ctxq1tqvaCgkFb8cCA/edit#gid=346597447"",""หนองบัวลำภู!M546"")"),0)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IFERROR(__xludf.DUMMYFUNCTION("IMPORTRANGE(""https://docs.google.com/spreadsheets/d/1XL5vhW3sbDhbH9Cz0tuDiY8C3ctxq1tqvaCgkFb8cCA/edit#gid=346597447"",""หนองบัวลำภู!J547"")"),3)</f>
        <v>3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IFERROR(__xludf.DUMMYFUNCTION("IMPORTRANGE(""https://docs.google.com/spreadsheets/d/1XL5vhW3sbDhbH9Cz0tuDiY8C3ctxq1tqvaCgkFb8cCA/edit#gid=346597447"",""หนองบัวลำภู!J548"")"),56)</f>
        <v>56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IFERROR(__xludf.DUMMYFUNCTION("IMPORTRANGE(""https://docs.google.com/spreadsheets/d/1XL5vhW3sbDhbH9Cz0tuDiY8C3ctxq1tqvaCgkFb8cCA/edit#gid=346597447"",""หนองบัวลำภู!J550"")"),0)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IFERROR(__xludf.DUMMYFUNCTION("IMPORTRANGE(""https://docs.google.com/spreadsheets/d/1XL5vhW3sbDhbH9Cz0tuDiY8C3ctxq1tqvaCgkFb8cCA/edit#gid=346597447"",""หนองบัวลำภู!J551"")"),10)</f>
        <v>10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IFERROR(__xludf.DUMMYFUNCTION("IMPORTRANGE(""https://docs.google.com/spreadsheets/d/1XL5vhW3sbDhbH9Cz0tuDiY8C3ctxq1tqvaCgkFb8cCA/edit#gid=346597447"",""หนองบัวลำภู!J552"")"),56)</f>
        <v>56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IFERROR(__xludf.DUMMYFUNCTION("IMPORTRANGE(""https://docs.google.com/spreadsheets/d/1XL5vhW3sbDhbH9Cz0tuDiY8C3ctxq1tqvaCgkFb8cCA/edit#gid=346597447"",""หนองบัวลำภู!J553"")"),0)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IFERROR(__xludf.DUMMYFUNCTION("IMPORTRANGE(""https://docs.google.com/spreadsheets/d/1XL5vhW3sbDhbH9Cz0tuDiY8C3ctxq1tqvaCgkFb8cCA/edit#gid=346597447"",""หนองบัวลำภู!J554"")"),0)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IFERROR(__xludf.DUMMYFUNCTION("IMPORTRANGE(""https://docs.google.com/spreadsheets/d/1XL5vhW3sbDhbH9Cz0tuDiY8C3ctxq1tqvaCgkFb8cCA/edit#gid=346597447"",""หนองบัวลำภู!J555"")"),0)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IFERROR(__xludf.DUMMYFUNCTION("IMPORTRANGE(""https://docs.google.com/spreadsheets/d/1XL5vhW3sbDhbH9Cz0tuDiY8C3ctxq1tqvaCgkFb8cCA/edit#gid=346597447"",""หนองบัวลำภู!J556"")"),0)</f>
        <v>0</v>
      </c>
      <c r="K661" s="586"/>
      <c r="L661" s="571">
        <f ca="1">IFERROR(__xludf.DUMMYFUNCTION("IMPORTRANGE(""https://docs.google.com/spreadsheets/d/1XL5vhW3sbDhbH9Cz0tuDiY8C3ctxq1tqvaCgkFb8cCA/edit#gid=346597447"",""หนองบัวลำภู!L556"")"),0)</f>
        <v>0</v>
      </c>
      <c r="M661" s="570"/>
      <c r="N661" s="587">
        <f ca="1">IFERROR(__xludf.DUMMYFUNCTION("IMPORTRANGE(""https://docs.google.com/spreadsheets/d/1XL5vhW3sbDhbH9Cz0tuDiY8C3ctxq1tqvaCgkFb8cCA/edit#gid=346597447"",""หนองบัวลำภู!M556"")"),0)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IFERROR(__xludf.DUMMYFUNCTION("IMPORTRANGE(""https://docs.google.com/spreadsheets/d/1XL5vhW3sbDhbH9Cz0tuDiY8C3ctxq1tqvaCgkFb8cCA/edit#gid=346597447"",""หนองบัวลำภู!J557"")"),0)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IFERROR(__xludf.DUMMYFUNCTION("IMPORTRANGE(""https://docs.google.com/spreadsheets/d/1XL5vhW3sbDhbH9Cz0tuDiY8C3ctxq1tqvaCgkFb8cCA/edit#gid=346597447"",""หนองบัวลำภู!I558"")"),0)</f>
        <v>0</v>
      </c>
      <c r="J663" s="585">
        <f ca="1">IFERROR(__xludf.DUMMYFUNCTION("IMPORTRANGE(""https://docs.google.com/spreadsheets/d/1XL5vhW3sbDhbH9Cz0tuDiY8C3ctxq1tqvaCgkFb8cCA/edit#gid=346597447"",""หนองบัวลำภู!J558"")"),0)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IFERROR(__xludf.DUMMYFUNCTION("IMPORTRANGE(""https://docs.google.com/spreadsheets/d/1XL5vhW3sbDhbH9Cz0tuDiY8C3ctxq1tqvaCgkFb8cCA/edit#gid=346597447"",""หนองบัวลำภู!I560"")"),0)</f>
        <v>0</v>
      </c>
      <c r="J665" s="585">
        <f ca="1">IFERROR(__xludf.DUMMYFUNCTION("IMPORTRANGE(""https://docs.google.com/spreadsheets/d/1XL5vhW3sbDhbH9Cz0tuDiY8C3ctxq1tqvaCgkFb8cCA/edit#gid=346597447"",""หนองบัวลำภู!J560"")"),0)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IFERROR(__xludf.DUMMYFUNCTION("IMPORTRANGE(""https://docs.google.com/spreadsheets/d/1XL5vhW3sbDhbH9Cz0tuDiY8C3ctxq1tqvaCgkFb8cCA/edit#gid=346597447"",""หนองบัวลำภู!L560"")"),0)</f>
        <v>0</v>
      </c>
      <c r="M665" s="570"/>
      <c r="N665" s="587">
        <f ca="1">IFERROR(__xludf.DUMMYFUNCTION("IMPORTRANGE(""https://docs.google.com/spreadsheets/d/1XL5vhW3sbDhbH9Cz0tuDiY8C3ctxq1tqvaCgkFb8cCA/edit#gid=346597447"",""หนองบัวลำภู!M560"")"),0)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IFERROR(__xludf.DUMMYFUNCTION("IMPORTRANGE(""https://docs.google.com/spreadsheets/d/1XL5vhW3sbDhbH9Cz0tuDiY8C3ctxq1tqvaCgkFb8cCA/edit#gid=346597447"",""หนองบัวลำภู!J561"")"),0)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IFERROR(__xludf.DUMMYFUNCTION("IMPORTRANGE(""https://docs.google.com/spreadsheets/d/1XL5vhW3sbDhbH9Cz0tuDiY8C3ctxq1tqvaCgkFb8cCA/edit#gid=346597447"",""หนองบัวลำภู!J562"")"),0)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IFERROR(__xludf.DUMMYFUNCTION("IMPORTRANGE(""https://docs.google.com/spreadsheets/d/1XL5vhW3sbDhbH9Cz0tuDiY8C3ctxq1tqvaCgkFb8cCA/edit#gid=346597447"",""หนองบัวลำภู!I563"")"),0)</f>
        <v>0</v>
      </c>
      <c r="J668" s="585">
        <f ca="1">IFERROR(__xludf.DUMMYFUNCTION("IMPORTRANGE(""https://docs.google.com/spreadsheets/d/1XL5vhW3sbDhbH9Cz0tuDiY8C3ctxq1tqvaCgkFb8cCA/edit#gid=346597447"",""หนองบัวลำภู!J563"")"),0)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IFERROR(__xludf.DUMMYFUNCTION("IMPORTRANGE(""https://docs.google.com/spreadsheets/d/1XL5vhW3sbDhbH9Cz0tuDiY8C3ctxq1tqvaCgkFb8cCA/edit#gid=346597447"",""หนองบัวลำภู!L563"")"),0)</f>
        <v>0</v>
      </c>
      <c r="M668" s="570"/>
      <c r="N668" s="587">
        <f ca="1">IFERROR(__xludf.DUMMYFUNCTION("IMPORTRANGE(""https://docs.google.com/spreadsheets/d/1XL5vhW3sbDhbH9Cz0tuDiY8C3ctxq1tqvaCgkFb8cCA/edit#gid=346597447"",""หนองบัวลำภู!M563"")"),0)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IFERROR(__xludf.DUMMYFUNCTION("IMPORTRANGE(""https://docs.google.com/spreadsheets/d/1XL5vhW3sbDhbH9Cz0tuDiY8C3ctxq1tqvaCgkFb8cCA/edit#gid=346597447"",""หนองบัวลำภู!J564"")"),0)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IFERROR(__xludf.DUMMYFUNCTION("IMPORTRANGE(""https://docs.google.com/spreadsheets/d/1XL5vhW3sbDhbH9Cz0tuDiY8C3ctxq1tqvaCgkFb8cCA/edit#gid=346597447"",""หนองบัวลำภู!J565"")"),0)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IFERROR(__xludf.DUMMYFUNCTION("IMPORTRANGE(""https://docs.google.com/spreadsheets/d/1XL5vhW3sbDhbH9Cz0tuDiY8C3ctxq1tqvaCgkFb8cCA/edit#gid=346597447"",""หนองบัวลำภู!I566"")"),0)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IFERROR(__xludf.DUMMYFUNCTION("IMPORTRANGE(""https://docs.google.com/spreadsheets/d/1XL5vhW3sbDhbH9Cz0tuDiY8C3ctxq1tqvaCgkFb8cCA/edit#gid=346597447"",""หนองบัวลำภู!L566"")"),0)</f>
        <v>0</v>
      </c>
      <c r="M671" s="570"/>
      <c r="N671" s="587">
        <f ca="1">IFERROR(__xludf.DUMMYFUNCTION("IMPORTRANGE(""https://docs.google.com/spreadsheets/d/1XL5vhW3sbDhbH9Cz0tuDiY8C3ctxq1tqvaCgkFb8cCA/edit#gid=346597447"",""หนองบัวลำภู!M566"")"),0)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IFERROR(__xludf.DUMMYFUNCTION("IMPORTRANGE(""https://docs.google.com/spreadsheets/d/1XL5vhW3sbDhbH9Cz0tuDiY8C3ctxq1tqvaCgkFb8cCA/edit#gid=346597447"",""หนองบัวลำภู!J567"")"),0)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IFERROR(__xludf.DUMMYFUNCTION("IMPORTRANGE(""https://docs.google.com/spreadsheets/d/1XL5vhW3sbDhbH9Cz0tuDiY8C3ctxq1tqvaCgkFb8cCA/edit#gid=346597447"",""หนองบัวลำภู!J568"")"),0)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IFERROR(__xludf.DUMMYFUNCTION("IMPORTRANGE(""https://docs.google.com/spreadsheets/d/1XL5vhW3sbDhbH9Cz0tuDiY8C3ctxq1tqvaCgkFb8cCA/edit#gid=346597447"",""หนองบัวลำภู!J569"")"),0)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IFERROR(__xludf.DUMMYFUNCTION("IMPORTRANGE(""https://docs.google.com/spreadsheets/d/1XL5vhW3sbDhbH9Cz0tuDiY8C3ctxq1tqvaCgkFb8cCA/edit#gid=346597447"",""หนองบัวลำภู!J570"")"),0)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IFERROR(__xludf.DUMMYFUNCTION("IMPORTRANGE(""https://docs.google.com/spreadsheets/d/1XL5vhW3sbDhbH9Cz0tuDiY8C3ctxq1tqvaCgkFb8cCA/edit#gid=346597447"",""หนองบัวลำภู!J571"")"),0)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IFERROR(__xludf.DUMMYFUNCTION("IMPORTRANGE(""https://docs.google.com/spreadsheets/d/1XL5vhW3sbDhbH9Cz0tuDiY8C3ctxq1tqvaCgkFb8cCA/edit#gid=346597447"",""หนองบัวลำภู!J572"")"),0)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4" sqref="G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4.8554687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4186684</v>
      </c>
      <c r="M8" s="23">
        <f t="shared" ca="1" si="0"/>
        <v>2179425</v>
      </c>
      <c r="N8" s="23">
        <f t="shared" ca="1" si="0"/>
        <v>1958965.02</v>
      </c>
      <c r="O8" s="22">
        <f t="shared" ref="O8:O16" ca="1" si="1">IF(L8&gt;0,N8*100/L8,0)</f>
        <v>46.790372046230381</v>
      </c>
      <c r="P8" s="22">
        <f t="shared" ref="P8:P16" ca="1" si="2">IF(M8&gt;0,N8*100/M8,0)</f>
        <v>89.88448879865102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4186684</v>
      </c>
      <c r="M10" s="30">
        <f t="shared" ca="1" si="4"/>
        <v>2179425</v>
      </c>
      <c r="N10" s="30">
        <f t="shared" ca="1" si="4"/>
        <v>1958965.02</v>
      </c>
      <c r="O10" s="29">
        <f t="shared" ca="1" si="1"/>
        <v>46.790372046230381</v>
      </c>
      <c r="P10" s="29">
        <f t="shared" ca="1" si="2"/>
        <v>89.88448879865102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4150184</v>
      </c>
      <c r="M12" s="38">
        <f t="shared" ca="1" si="6"/>
        <v>2142925</v>
      </c>
      <c r="N12" s="38">
        <f t="shared" ca="1" si="6"/>
        <v>1922465.02</v>
      </c>
      <c r="O12" s="38">
        <f t="shared" ca="1" si="1"/>
        <v>46.322404500619733</v>
      </c>
      <c r="P12" s="38">
        <f t="shared" ca="1" si="2"/>
        <v>89.712193380542956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2391184</v>
      </c>
      <c r="M14" s="38">
        <f t="shared" si="8"/>
        <v>0</v>
      </c>
      <c r="N14" s="38">
        <f t="shared" ca="1" si="8"/>
        <v>527874</v>
      </c>
      <c r="O14" s="38">
        <f t="shared" ca="1" si="1"/>
        <v>22.075841926008202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2789540</v>
      </c>
      <c r="M18" s="23">
        <f t="shared" ca="1" si="11"/>
        <v>2179425</v>
      </c>
      <c r="N18" s="23">
        <f t="shared" ca="1" si="11"/>
        <v>1431091.02</v>
      </c>
      <c r="O18" s="22">
        <f t="shared" ref="O18:O20" ca="1" si="12">IF(L18&gt;0,N18*100/L18,0)</f>
        <v>51.302043347648713</v>
      </c>
      <c r="P18" s="22">
        <f t="shared" ref="P18:P26" ca="1" si="13">IF(M18&gt;0,N18*100/M18,0)</f>
        <v>65.663696617227018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2789540</v>
      </c>
      <c r="M20" s="30">
        <f t="shared" ca="1" si="15"/>
        <v>2179425</v>
      </c>
      <c r="N20" s="30">
        <f t="shared" ca="1" si="15"/>
        <v>1431091.02</v>
      </c>
      <c r="O20" s="29">
        <f t="shared" ca="1" si="12"/>
        <v>51.302043347648713</v>
      </c>
      <c r="P20" s="29">
        <f t="shared" ca="1" si="13"/>
        <v>65.663696617227018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2753040</v>
      </c>
      <c r="M22" s="41">
        <f t="shared" ca="1" si="18"/>
        <v>2142925</v>
      </c>
      <c r="N22" s="38">
        <f t="shared" ca="1" si="18"/>
        <v>1394591.02</v>
      </c>
      <c r="O22" s="38">
        <f t="shared" ca="1" si="17"/>
        <v>50.656402377008689</v>
      </c>
      <c r="P22" s="38">
        <f t="shared" ca="1" si="13"/>
        <v>65.078853436307853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994040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1397144</v>
      </c>
      <c r="M28" s="23">
        <f t="shared" si="23"/>
        <v>0</v>
      </c>
      <c r="N28" s="23">
        <f t="shared" ca="1" si="23"/>
        <v>527874</v>
      </c>
      <c r="O28" s="22">
        <f t="shared" ref="O28:O30" ca="1" si="24">IF(L28&gt;0,N28*100/L28,0)</f>
        <v>37.782361732219442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1397144</v>
      </c>
      <c r="M30" s="30">
        <f t="shared" si="27"/>
        <v>0</v>
      </c>
      <c r="N30" s="30">
        <f t="shared" ca="1" si="27"/>
        <v>527874</v>
      </c>
      <c r="O30" s="29">
        <f t="shared" ca="1" si="24"/>
        <v>37.782361732219442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1397144</v>
      </c>
      <c r="M32" s="38">
        <f t="shared" si="30"/>
        <v>0</v>
      </c>
      <c r="N32" s="38">
        <f t="shared" ca="1" si="30"/>
        <v>527874</v>
      </c>
      <c r="O32" s="38">
        <f t="shared" ca="1" si="29"/>
        <v>37.782361732219442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1397144</v>
      </c>
      <c r="M34" s="38">
        <f t="shared" si="32"/>
        <v>0</v>
      </c>
      <c r="N34" s="38">
        <f t="shared" ca="1" si="32"/>
        <v>527874</v>
      </c>
      <c r="O34" s="38">
        <f t="shared" ca="1" si="29"/>
        <v>37.782361732219442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2789540</v>
      </c>
      <c r="M37" s="54">
        <f t="shared" ca="1" si="33"/>
        <v>2179425</v>
      </c>
      <c r="N37" s="54">
        <f t="shared" ca="1" si="33"/>
        <v>1431091.02</v>
      </c>
      <c r="O37" s="55">
        <f t="shared" ca="1" si="29"/>
        <v>51.302043347648713</v>
      </c>
      <c r="P37" s="55">
        <f t="shared" ca="1" si="25"/>
        <v>65.663696617227018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659100</v>
      </c>
      <c r="M41" s="78">
        <f t="shared" ca="1" si="34"/>
        <v>494300</v>
      </c>
      <c r="N41" s="78">
        <f t="shared" ca="1" si="34"/>
        <v>399525.74</v>
      </c>
      <c r="O41" s="77">
        <f t="shared" ref="O41:O43" ca="1" si="35">IF(L41&gt;0,N41*100/L41,0)</f>
        <v>60.616862388104991</v>
      </c>
      <c r="P41" s="77">
        <f t="shared" ref="P41:P43" ca="1" si="36">IF(M41&gt;0,N41*100/M41,0)</f>
        <v>80.826570908355251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659100</v>
      </c>
      <c r="M43" s="78">
        <f t="shared" ca="1" si="38"/>
        <v>494300</v>
      </c>
      <c r="N43" s="78">
        <f t="shared" ca="1" si="38"/>
        <v>399525.74</v>
      </c>
      <c r="O43" s="77">
        <f t="shared" ca="1" si="35"/>
        <v>60.616862388104991</v>
      </c>
      <c r="P43" s="77">
        <f t="shared" ca="1" si="36"/>
        <v>80.826570908355251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659100</v>
      </c>
      <c r="M45" s="622">
        <f ca="1">IFERROR(__xludf.DUMMYFUNCTION("IMPORTRANGE(""https://docs.google.com/spreadsheets/d/1Yj_ptqi66GCucihVvJfMjLAmec39IyEx_6qawtMGysU/edit?usp=sharing"",""สบก!Q55"")"),494300)</f>
        <v>494300</v>
      </c>
      <c r="N45" s="622">
        <f ca="1">IFERROR(__xludf.DUMMYFUNCTION("IMPORTRANGE(""https://docs.google.com/spreadsheets/d/1Yj_ptqi66GCucihVvJfMjLAmec39IyEx_6qawtMGysU/edit?usp=sharing"",""สบก!R55"")"),399525.74)</f>
        <v>399525.74</v>
      </c>
      <c r="O45" s="623">
        <f ca="1">IF(L45&gt;0,N45*100/L45,0)</f>
        <v>60.616862388104991</v>
      </c>
      <c r="P45" s="623">
        <f ca="1">IF(M45&gt;0,N45*100/M45,0)</f>
        <v>80.826570908355251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IFERROR(__xludf.DUMMYFUNCTION("IMPORTRANGE(""https://docs.google.com/spreadsheets/d/1Yj_ptqi66GCucihVvJfMjLAmec39IyEx_6qawtMGysU/edit?usp=sharing"",""สบก!M55"")"),659100)</f>
        <v>659100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IFERROR(__xludf.DUMMYFUNCTION("IMPORTRANGE(""https://docs.google.com/spreadsheets/d/1Yj_ptqi66GCucihVvJfMjLAmec39IyEx_6qawtMGysU/edit?usp=sharing"",""สบก!N55"")"),0)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IFERROR(__xludf.DUMMYFUNCTION("IMPORTRANGE(""https://docs.google.com/spreadsheets/d/1Yj_ptqi66GCucihVvJfMjLAmec39IyEx_6qawtMGysU/edit?usp=sharing"",""สบก!O55"")"),0)</f>
        <v>0</v>
      </c>
      <c r="M49" s="625"/>
      <c r="N49" s="622">
        <f ca="1">IFERROR(__xludf.DUMMYFUNCTION("IMPORTRANGE(""https://docs.google.com/spreadsheets/d/1Yj_ptqi66GCucihVvJfMjLAmec39IyEx_6qawtMGysU/edit?usp=sharing"",""สบก!S55"")"),0)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482400</v>
      </c>
      <c r="M53" s="121">
        <f t="shared" ca="1" si="39"/>
        <v>361800</v>
      </c>
      <c r="N53" s="121">
        <f t="shared" ca="1" si="39"/>
        <v>250238</v>
      </c>
      <c r="O53" s="120">
        <f t="shared" ref="O53:O55" ca="1" si="40">IF(L53&gt;0,N53*100/L53,0)</f>
        <v>51.873548922056386</v>
      </c>
      <c r="P53" s="120">
        <f t="shared" ref="P53:P55" ca="1" si="41">IF(M53&gt;0,N53*100/M53,0)</f>
        <v>69.164731896075182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482400</v>
      </c>
      <c r="M55" s="121">
        <f t="shared" ca="1" si="43"/>
        <v>361800</v>
      </c>
      <c r="N55" s="121">
        <f t="shared" ca="1" si="43"/>
        <v>250238</v>
      </c>
      <c r="O55" s="120">
        <f t="shared" ca="1" si="40"/>
        <v>51.873548922056386</v>
      </c>
      <c r="P55" s="120">
        <f t="shared" ca="1" si="41"/>
        <v>69.164731896075182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482400</v>
      </c>
      <c r="M57" s="622">
        <f ca="1">IFERROR(__xludf.DUMMYFUNCTION("IMPORTRANGE(""https://docs.google.com/spreadsheets/d/1Yj_ptqi66GCucihVvJfMjLAmec39IyEx_6qawtMGysU/edit?usp=sharing"",""สบก!Z55"")"),361800)</f>
        <v>361800</v>
      </c>
      <c r="N57" s="622">
        <f ca="1">IFERROR(__xludf.DUMMYFUNCTION("IMPORTRANGE(""https://docs.google.com/spreadsheets/d/1Yj_ptqi66GCucihVvJfMjLAmec39IyEx_6qawtMGysU/edit?usp=sharing"",""สบก!AA55"")"),250238)</f>
        <v>250238</v>
      </c>
      <c r="O57" s="623">
        <f ca="1">IF(L57&gt;0,N57*100/L57,0)</f>
        <v>51.873548922056386</v>
      </c>
      <c r="P57" s="623">
        <f ca="1">IF(M57&gt;0,N57*100/M57,0)</f>
        <v>69.164731896075182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IFERROR(__xludf.DUMMYFUNCTION("IMPORTRANGE(""https://docs.google.com/spreadsheets/d/1Yj_ptqi66GCucihVvJfMjLAmec39IyEx_6qawtMGysU/edit?usp=sharing"",""สบก!V55"")"),482400)</f>
        <v>482400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IFERROR(__xludf.DUMMYFUNCTION("IMPORTRANGE(""https://docs.google.com/spreadsheets/d/1Yj_ptqi66GCucihVvJfMjLAmec39IyEx_6qawtMGysU/edit?usp=sharing"",""สบก!W55"")"),0)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IFERROR(__xludf.DUMMYFUNCTION("IMPORTRANGE(""https://docs.google.com/spreadsheets/d/1Yj_ptqi66GCucihVvJfMjLAmec39IyEx_6qawtMGysU/edit?usp=sharing"",""สบก!X55"")"),0)</f>
        <v>0</v>
      </c>
      <c r="M61" s="625"/>
      <c r="N61" s="622">
        <f ca="1">IFERROR(__xludf.DUMMYFUNCTION("IMPORTRANGE(""https://docs.google.com/spreadsheets/d/1Yj_ptqi66GCucihVvJfMjLAmec39IyEx_6qawtMGysU/edit?usp=sharing"",""สบก!AB55"")"),0)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777100</v>
      </c>
      <c r="M66" s="152">
        <f t="shared" ca="1" si="45"/>
        <v>636820</v>
      </c>
      <c r="N66" s="152">
        <f t="shared" ca="1" si="45"/>
        <v>307932.28000000003</v>
      </c>
      <c r="O66" s="151">
        <f t="shared" ref="O66:O68" ca="1" si="46">IF(L66&gt;0,N66*100/L66,0)</f>
        <v>39.625824218247338</v>
      </c>
      <c r="P66" s="151">
        <f t="shared" ref="P66:P68" ca="1" si="47">IF(M66&gt;0,N66*100/M66,0)</f>
        <v>48.35468107157439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777100</v>
      </c>
      <c r="M68" s="157">
        <f t="shared" ca="1" si="49"/>
        <v>636820</v>
      </c>
      <c r="N68" s="157">
        <f t="shared" ca="1" si="49"/>
        <v>307932.28000000003</v>
      </c>
      <c r="O68" s="156">
        <f t="shared" ca="1" si="46"/>
        <v>39.625824218247338</v>
      </c>
      <c r="P68" s="156">
        <f t="shared" ca="1" si="47"/>
        <v>48.35468107157439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777100</v>
      </c>
      <c r="M70" s="626">
        <f ca="1">IFERROR(__xludf.DUMMYFUNCTION("IMPORTRANGE(""https://docs.google.com/spreadsheets/d/1Yj_ptqi66GCucihVvJfMjLAmec39IyEx_6qawtMGysU/edit?usp=sharing"",""สบก!AI55"")"),636820)</f>
        <v>636820</v>
      </c>
      <c r="N70" s="627">
        <f ca="1">IFERROR(__xludf.DUMMYFUNCTION("IMPORTRANGE(""https://docs.google.com/spreadsheets/d/1Yj_ptqi66GCucihVvJfMjLAmec39IyEx_6qawtMGysU/edit?usp=sharing"",""สบก!AJ55"")"),307932.28)</f>
        <v>307932.28000000003</v>
      </c>
      <c r="O70" s="169">
        <f ca="1">IF(L70&gt;0,N70*100/L70,0)</f>
        <v>39.625824218247338</v>
      </c>
      <c r="P70" s="169">
        <f ca="1">IF(M70&gt;0,N70*100/M70,0)</f>
        <v>48.35468107157439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IFERROR(__xludf.DUMMYFUNCTION("IMPORTRANGE(""https://docs.google.com/spreadsheets/d/1Yj_ptqi66GCucihVvJfMjLAmec39IyEx_6qawtMGysU/edit?usp=sharing"",""สบก!AF55"")"),465600)</f>
        <v>465600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IFERROR(__xludf.DUMMYFUNCTION("IMPORTRANGE(""https://docs.google.com/spreadsheets/d/1Yj_ptqi66GCucihVvJfMjLAmec39IyEx_6qawtMGysU/edit?usp=sharing"",""สบก!AG55"")"),0)</f>
        <v>0</v>
      </c>
      <c r="M74" s="625"/>
      <c r="N74" s="622">
        <f ca="1">IFERROR(__xludf.DUMMYFUNCTION("IMPORTRANGE(""https://docs.google.com/spreadsheets/d/1Yj_ptqi66GCucihVvJfMjLAmec39IyEx_6qawtMGysU/edit?usp=sharing"",""สบก!AK55"")"),0)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IFERROR(__xludf.DUMMYFUNCTION("IMPORTRANGE(""https://docs.google.com/spreadsheets/d/1XL5vhW3sbDhbH9Cz0tuDiY8C3ctxq1tqvaCgkFb8cCA/edit?usp=sharing"",""อำนาจเจริญ!I28"")"),0)</f>
        <v>0</v>
      </c>
      <c r="J88" s="204">
        <f ca="1">IFERROR(__xludf.DUMMYFUNCTION("IMPORTRANGE(""https://docs.google.com/spreadsheets/d/1XL5vhW3sbDhbH9Cz0tuDiY8C3ctxq1tqvaCgkFb8cCA/edit?usp=sharing"",""อำนาจเจริญ!J28"")"),0)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IFERROR(__xludf.DUMMYFUNCTION("IMPORTRANGE(""https://docs.google.com/spreadsheets/d/1XL5vhW3sbDhbH9Cz0tuDiY8C3ctxq1tqvaCgkFb8cCA/edit?usp=sharing"",""อำนาจเจริญ!J30"")"),0)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IFERROR(__xludf.DUMMYFUNCTION("IMPORTRANGE(""https://docs.google.com/spreadsheets/d/1Yj_ptqi66GCucihVvJfMjLAmec39IyEx_6qawtMGysU/edit?usp=sharing"",""สบก!AR55"")"),0)</f>
        <v>0</v>
      </c>
      <c r="N98" s="627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IFERROR(__xludf.DUMMYFUNCTION("IMPORTRANGE(""https://docs.google.com/spreadsheets/d/1Yj_ptqi66GCucihVvJfMjLAmec39IyEx_6qawtMGysU/edit?usp=sharing"",""สบก!AP55"")"),0)</f>
        <v>0</v>
      </c>
      <c r="M102" s="625"/>
      <c r="N102" s="622">
        <f ca="1">IFERROR(__xludf.DUMMYFUNCTION("IMPORTRANGE(""https://docs.google.com/spreadsheets/d/1Yj_ptqi66GCucihVvJfMjLAmec39IyEx_6qawtMGysU/edit?usp=sharing"",""สบก!AT55"")"),0)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IFERROR(__xludf.DUMMYFUNCTION("IMPORTRANGE(""https://docs.google.com/spreadsheets/d/1XL5vhW3sbDhbH9Cz0tuDiY8C3ctxq1tqvaCgkFb8cCA/edit?usp=sharing"",""อำนาจเจริญ!J50"")"),0)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IFERROR(__xludf.DUMMYFUNCTION("IMPORTRANGE(""https://docs.google.com/spreadsheets/d/1Yj_ptqi66GCucihVvJfMjLAmec39IyEx_6qawtMGysU/edit?usp=sharing"",""สบก!BA55"")"),0)</f>
        <v>0</v>
      </c>
      <c r="N122" s="627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IFERROR(__xludf.DUMMYFUNCTION("IMPORTRANGE(""https://docs.google.com/spreadsheets/d/1Yj_ptqi66GCucihVvJfMjLAmec39IyEx_6qawtMGysU/edit?usp=sharing"",""สบก!AY55"")"),0)</f>
        <v>0</v>
      </c>
      <c r="M126" s="625"/>
      <c r="N126" s="622">
        <f ca="1">IFERROR(__xludf.DUMMYFUNCTION("IMPORTRANGE(""https://docs.google.com/spreadsheets/d/1Yj_ptqi66GCucihVvJfMjLAmec39IyEx_6qawtMGysU/edit?usp=sharing"",""สบก!BC55"")"),0)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295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IFERROR(__xludf.DUMMYFUNCTION("IMPORTRANGE(""https://docs.google.com/spreadsheets/d/1XL5vhW3sbDhbH9Cz0tuDiY8C3ctxq1tqvaCgkFb8cCA/edit?usp=sharing"",""อำนาจเจริญ!J65"")"),0)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IFERROR(__xludf.DUMMYFUNCTION("IMPORTRANGE(""https://docs.google.com/spreadsheets/d/1XL5vhW3sbDhbH9Cz0tuDiY8C3ctxq1tqvaCgkFb8cCA/edit?usp=sharing"",""อำนาจเจริญ!I68"")"),0)</f>
        <v>0</v>
      </c>
      <c r="J138" s="267">
        <f ca="1">IFERROR(__xludf.DUMMYFUNCTION("IMPORTRANGE(""https://docs.google.com/spreadsheets/d/1XL5vhW3sbDhbH9Cz0tuDiY8C3ctxq1tqvaCgkFb8cCA/edit?usp=sharing"",""อำนาจเจริญ!J68"")"),0)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77100</v>
      </c>
      <c r="M140" s="152">
        <f t="shared" ca="1" si="64"/>
        <v>49375</v>
      </c>
      <c r="N140" s="152">
        <f t="shared" ca="1" si="64"/>
        <v>42500</v>
      </c>
      <c r="O140" s="151">
        <f t="shared" ref="O140:O142" ca="1" si="65">IF(L140&gt;0,N140*100/L140,0)</f>
        <v>55.123216601815827</v>
      </c>
      <c r="P140" s="151">
        <f t="shared" ref="P140:P142" ca="1" si="66">IF(M140&gt;0,N140*100/M140,0)</f>
        <v>86.075949367088612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77100</v>
      </c>
      <c r="M142" s="157">
        <f t="shared" ca="1" si="68"/>
        <v>49375</v>
      </c>
      <c r="N142" s="157">
        <f t="shared" ca="1" si="68"/>
        <v>42500</v>
      </c>
      <c r="O142" s="156">
        <f t="shared" ca="1" si="65"/>
        <v>55.123216601815827</v>
      </c>
      <c r="P142" s="156">
        <f t="shared" ca="1" si="66"/>
        <v>86.075949367088612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77100</v>
      </c>
      <c r="M144" s="626">
        <f ca="1">IFERROR(__xludf.DUMMYFUNCTION("IMPORTRANGE(""https://docs.google.com/spreadsheets/d/1Yj_ptqi66GCucihVvJfMjLAmec39IyEx_6qawtMGysU/edit?usp=sharing"",""สบก!BJ55"")"),49375)</f>
        <v>49375</v>
      </c>
      <c r="N144" s="627">
        <f ca="1">IFERROR(__xludf.DUMMYFUNCTION("IMPORTRANGE(""https://docs.google.com/spreadsheets/d/1Yj_ptqi66GCucihVvJfMjLAmec39IyEx_6qawtMGysU/edit?usp=sharing"",""สบก!BK55"")"),42500)</f>
        <v>42500</v>
      </c>
      <c r="O144" s="169">
        <f ca="1">IF(L144&gt;0,N144*100/L144,0)</f>
        <v>55.123216601815827</v>
      </c>
      <c r="P144" s="169">
        <f ca="1">IF(M144&gt;0,N144*100/M144,0)</f>
        <v>86.075949367088612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IFERROR(__xludf.DUMMYFUNCTION("IMPORTRANGE(""https://docs.google.com/spreadsheets/d/1Yj_ptqi66GCucihVvJfMjLAmec39IyEx_6qawtMGysU/edit?usp=sharing"",""สบก!BG55"")"),77100)</f>
        <v>77100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IFERROR(__xludf.DUMMYFUNCTION("IMPORTRANGE(""https://docs.google.com/spreadsheets/d/1Yj_ptqi66GCucihVvJfMjLAmec39IyEx_6qawtMGysU/edit?usp=sharing"",""สบก!BH55"")"),0)</f>
        <v>0</v>
      </c>
      <c r="M148" s="625"/>
      <c r="N148" s="622">
        <f ca="1">IFERROR(__xludf.DUMMYFUNCTION("IMPORTRANGE(""https://docs.google.com/spreadsheets/d/1Yj_ptqi66GCucihVvJfMjLAmec39IyEx_6qawtMGysU/edit?usp=sharing"",""สบก!BL55"")"),0)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IFERROR(__xludf.DUMMYFUNCTION("IMPORTRANGE(""https://docs.google.com/spreadsheets/d/1XL5vhW3sbDhbH9Cz0tuDiY8C3ctxq1tqvaCgkFb8cCA/edit?usp=sharing"",""อำนาจเจริญ!I74"")"),4)</f>
        <v>4</v>
      </c>
      <c r="J149" s="275">
        <f ca="1">IFERROR(__xludf.DUMMYFUNCTION("IMPORTRANGE(""https://docs.google.com/spreadsheets/d/1XL5vhW3sbDhbH9Cz0tuDiY8C3ctxq1tqvaCgkFb8cCA/edit?usp=sharing"",""อำนาจเจริญ!J74"")"),2)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IFERROR(__xludf.DUMMYFUNCTION("IMPORTRANGE(""https://docs.google.com/spreadsheets/d/1XL5vhW3sbDhbH9Cz0tuDiY8C3ctxq1tqvaCgkFb8cCA/edit?usp=sharing"",""อำนาจเจริญ!J84"")"),16)</f>
        <v>16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IFERROR(__xludf.DUMMYFUNCTION("IMPORTRANGE(""https://docs.google.com/spreadsheets/d/1XL5vhW3sbDhbH9Cz0tuDiY8C3ctxq1tqvaCgkFb8cCA/edit?usp=sharing"",""อำนาจเจริญ!J85"")"),16)</f>
        <v>16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IFERROR(__xludf.DUMMYFUNCTION("IMPORTRANGE(""https://docs.google.com/spreadsheets/d/1XL5vhW3sbDhbH9Cz0tuDiY8C3ctxq1tqvaCgkFb8cCA/edit?usp=sharing"",""อำนาจเจริญ!J88"")"),0)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IFERROR(__xludf.DUMMYFUNCTION("IMPORTRANGE(""https://docs.google.com/spreadsheets/d/1XL5vhW3sbDhbH9Cz0tuDiY8C3ctxq1tqvaCgkFb8cCA/edit?usp=sharing"",""อำนาจเจริญ!I89"")"),2)</f>
        <v>2</v>
      </c>
      <c r="J164" s="284">
        <f ca="1">IFERROR(__xludf.DUMMYFUNCTION("IMPORTRANGE(""https://docs.google.com/spreadsheets/d/1XL5vhW3sbDhbH9Cz0tuDiY8C3ctxq1tqvaCgkFb8cCA/edit?usp=sharing"",""อำนาจเจริญ!J89"")"),2)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IFERROR(__xludf.DUMMYFUNCTION("IMPORTRANGE(""https://docs.google.com/spreadsheets/d/1XL5vhW3sbDhbH9Cz0tuDiY8C3ctxq1tqvaCgkFb8cCA/edit?usp=sharing"",""อำนาจเจริญ!J100"")"),0)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IFERROR(__xludf.DUMMYFUNCTION("IMPORTRANGE(""https://docs.google.com/spreadsheets/d/1XL5vhW3sbDhbH9Cz0tuDiY8C3ctxq1tqvaCgkFb8cCA/edit?usp=sharing"",""อำนาจเจริญ!I101"")"),1)</f>
        <v>1</v>
      </c>
      <c r="J176" s="284">
        <f ca="1">IFERROR(__xludf.DUMMYFUNCTION("IMPORTRANGE(""https://docs.google.com/spreadsheets/d/1XL5vhW3sbDhbH9Cz0tuDiY8C3ctxq1tqvaCgkFb8cCA/edit?usp=sharing"",""อำนาจเจริญ!J101"")"),1)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IFERROR(__xludf.DUMMYFUNCTION("IMPORTRANGE(""https://docs.google.com/spreadsheets/d/1XL5vhW3sbDhbH9Cz0tuDiY8C3ctxq1tqvaCgkFb8cCA/edit?usp=sharing"",""อำนาจเจริญ!J113"")"),1)</f>
        <v>1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IFERROR(__xludf.DUMMYFUNCTION("IMPORTRANGE(""https://docs.google.com/spreadsheets/d/1XL5vhW3sbDhbH9Cz0tuDiY8C3ctxq1tqvaCgkFb8cCA/edit?usp=sharing"",""อำนาจเจริญ!I114"")"),64000)</f>
        <v>64000</v>
      </c>
      <c r="J189" s="284">
        <f ca="1">IFERROR(__xludf.DUMMYFUNCTION("IMPORTRANGE(""https://docs.google.com/spreadsheets/d/1XL5vhW3sbDhbH9Cz0tuDiY8C3ctxq1tqvaCgkFb8cCA/edit?usp=sharing"",""อำนาจเจริญ!J114"")"),0)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IFERROR(__xludf.DUMMYFUNCTION("IMPORTRANGE(""https://docs.google.com/spreadsheets/d/1XL5vhW3sbDhbH9Cz0tuDiY8C3ctxq1tqvaCgkFb8cCA/edit?usp=sharing"",""อำนาจเจริญ!J128"")"),0)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IFERROR(__xludf.DUMMYFUNCTION("IMPORTRANGE(""https://docs.google.com/spreadsheets/d/1XL5vhW3sbDhbH9Cz0tuDiY8C3ctxq1tqvaCgkFb8cCA/edit?usp=sharing"",""อำนาจเจริญ!I129"")"),0)</f>
        <v>0</v>
      </c>
      <c r="J204" s="284">
        <f ca="1">IFERROR(__xludf.DUMMYFUNCTION("IMPORTRANGE(""https://docs.google.com/spreadsheets/d/1XL5vhW3sbDhbH9Cz0tuDiY8C3ctxq1tqvaCgkFb8cCA/edit?usp=sharing"",""อำนาจเจริญ!J129"")"),0)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IFERROR(__xludf.DUMMYFUNCTION("IMPORTRANGE(""https://docs.google.com/spreadsheets/d/1XL5vhW3sbDhbH9Cz0tuDiY8C3ctxq1tqvaCgkFb8cCA/edit?usp=sharing"",""อำนาจเจริญ!J143"")"),0)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IFERROR(__xludf.DUMMYFUNCTION("IMPORTRANGE(""https://docs.google.com/spreadsheets/d/1XL5vhW3sbDhbH9Cz0tuDiY8C3ctxq1tqvaCgkFb8cCA/edit?usp=sharing"",""อำนาจเจริญ!I144"")"),14)</f>
        <v>14</v>
      </c>
      <c r="J219" s="267">
        <f ca="1">IFERROR(__xludf.DUMMYFUNCTION("IMPORTRANGE(""https://docs.google.com/spreadsheets/d/1XL5vhW3sbDhbH9Cz0tuDiY8C3ctxq1tqvaCgkFb8cCA/edit?usp=sharing"",""อำนาจเจริญ!J144"")"),14)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IFERROR(__xludf.DUMMYFUNCTION("IMPORTRANGE(""https://docs.google.com/spreadsheets/d/1Yj_ptqi66GCucihVvJfMjLAmec39IyEx_6qawtMGysU/edit?usp=sharing"",""สบก!BS55"")"),20210)</f>
        <v>20210</v>
      </c>
      <c r="N224" s="627">
        <f ca="1">IFERROR(__xludf.DUMMYFUNCTION("IMPORTRANGE(""https://docs.google.com/spreadsheets/d/1Yj_ptqi66GCucihVvJfMjLAmec39IyEx_6qawtMGysU/edit?usp=sharing"",""สบก!BT55"")"),20210)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IFERROR(__xludf.DUMMYFUNCTION("IMPORTRANGE(""https://docs.google.com/spreadsheets/d/1Yj_ptqi66GCucihVvJfMjLAmec39IyEx_6qawtMGysU/edit?usp=sharing"",""สบก!BQ55"")"),0)</f>
        <v>0</v>
      </c>
      <c r="M228" s="625"/>
      <c r="N228" s="622">
        <f ca="1">IFERROR(__xludf.DUMMYFUNCTION("IMPORTRANGE(""https://docs.google.com/spreadsheets/d/1Yj_ptqi66GCucihVvJfMjLAmec39IyEx_6qawtMGysU/edit?usp=sharing"",""สบก!BU55"")"),0)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IFERROR(__xludf.DUMMYFUNCTION("IMPORTRANGE(""https://docs.google.com/spreadsheets/d/1XL5vhW3sbDhbH9Cz0tuDiY8C3ctxq1tqvaCgkFb8cCA/edit?usp=sharing"",""อำนาจเจริญ!I149"")"),14)</f>
        <v>14</v>
      </c>
      <c r="J229" s="267">
        <f ca="1">IFERROR(__xludf.DUMMYFUNCTION("IMPORTRANGE(""https://docs.google.com/spreadsheets/d/1XL5vhW3sbDhbH9Cz0tuDiY8C3ctxq1tqvaCgkFb8cCA/edit?usp=sharing"",""อำนาจเจริญ!J149"")"),14)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IFERROR(__xludf.DUMMYFUNCTION("IMPORTRANGE(""https://docs.google.com/spreadsheets/d/1XL5vhW3sbDhbH9Cz0tuDiY8C3ctxq1tqvaCgkFb8cCA/edit?usp=sharing"",""อำนาจเจริญ!J157"")"),1)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IFERROR(__xludf.DUMMYFUNCTION("IMPORTRANGE(""https://docs.google.com/spreadsheets/d/1XL5vhW3sbDhbH9Cz0tuDiY8C3ctxq1tqvaCgkFb8cCA/edit?usp=sharing"",""อำนาจเจริญ!I158"")"),0)</f>
        <v>0</v>
      </c>
      <c r="J238" s="267">
        <f ca="1">IFERROR(__xludf.DUMMYFUNCTION("IMPORTRANGE(""https://docs.google.com/spreadsheets/d/1XL5vhW3sbDhbH9Cz0tuDiY8C3ctxq1tqvaCgkFb8cCA/edit?usp=sharing"",""อำนาจเจริญ!J158"")"),0)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IFERROR(__xludf.DUMMYFUNCTION("IMPORTRANGE(""https://docs.google.com/spreadsheets/d/1XL5vhW3sbDhbH9Cz0tuDiY8C3ctxq1tqvaCgkFb8cCA/edit?usp=sharing"",""อำนาจเจริญ!J166"")"),0)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IFERROR(__xludf.DUMMYFUNCTION("IMPORTRANGE(""https://docs.google.com/spreadsheets/d/1XL5vhW3sbDhbH9Cz0tuDiY8C3ctxq1tqvaCgkFb8cCA/edit?usp=sharing"",""อำนาจเจริญ!I169"")"),0)</f>
        <v>0</v>
      </c>
      <c r="J249" s="316">
        <f ca="1">IFERROR(__xludf.DUMMYFUNCTION("IMPORTRANGE(""https://docs.google.com/spreadsheets/d/1XL5vhW3sbDhbH9Cz0tuDiY8C3ctxq1tqvaCgkFb8cCA/edit?usp=sharing"",""อำนาจเจริญ!J169"")"),0)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695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695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IFERROR(__xludf.DUMMYFUNCTION("IMPORTRANGE(""https://docs.google.com/spreadsheets/d/1Yj_ptqi66GCucihVvJfMjLAmec39IyEx_6qawtMGysU/edit?usp=sharing"",""สบก!CB55"")"),0)</f>
        <v>0</v>
      </c>
      <c r="N254" s="627">
        <f ca="1">IFERROR(__xludf.DUMMYFUNCTION("IMPORTRANGE(""https://docs.google.com/spreadsheets/d/1Yj_ptqi66GCucihVvJfMjLAmec39IyEx_6qawtMGysU/edit?usp=sharing"",""สบก!CC55"")"),695)</f>
        <v>695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IFERROR(__xludf.DUMMYFUNCTION("IMPORTRANGE(""https://docs.google.com/spreadsheets/d/1Yj_ptqi66GCucihVvJfMjLAmec39IyEx_6qawtMGysU/edit?usp=sharing"",""สบก!BZ55"")"),0)</f>
        <v>0</v>
      </c>
      <c r="M258" s="625"/>
      <c r="N258" s="622">
        <f ca="1">IFERROR(__xludf.DUMMYFUNCTION("IMPORTRANGE(""https://docs.google.com/spreadsheets/d/1Yj_ptqi66GCucihVvJfMjLAmec39IyEx_6qawtMGysU/edit?usp=sharing"",""สบก!CD55"")"),0)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IFERROR(__xludf.DUMMYFUNCTION("IMPORTRANGE(""https://docs.google.com/spreadsheets/d/1XL5vhW3sbDhbH9Cz0tuDiY8C3ctxq1tqvaCgkFb8cCA/edit?usp=sharing"",""อำนาจเจริญ!J184"")"),0)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IFERROR(__xludf.DUMMYFUNCTION("IMPORTRANGE(""https://docs.google.com/spreadsheets/d/1XL5vhW3sbDhbH9Cz0tuDiY8C3ctxq1tqvaCgkFb8cCA/edit?usp=sharing"",""อำนาจเจริญ!I185"")"),15)</f>
        <v>15</v>
      </c>
      <c r="J270" s="316">
        <f ca="1">IFERROR(__xludf.DUMMYFUNCTION("IMPORTRANGE(""https://docs.google.com/spreadsheets/d/1XL5vhW3sbDhbH9Cz0tuDiY8C3ctxq1tqvaCgkFb8cCA/edit?usp=sharing"",""อำนาจเจริญ!J185"")"),15)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31555</v>
      </c>
      <c r="O271" s="151">
        <f t="shared" ref="O271:O273" ca="1" si="84">IF(L271&gt;0,N271*100/L271,0)</f>
        <v>57.164855072463766</v>
      </c>
      <c r="P271" s="151">
        <f t="shared" ref="P271:P273" ca="1" si="85">IF(M271&gt;0,N271*100/M271,0)</f>
        <v>97.844961240310084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31555</v>
      </c>
      <c r="O273" s="156">
        <f t="shared" ca="1" si="84"/>
        <v>57.164855072463766</v>
      </c>
      <c r="P273" s="156">
        <f t="shared" ca="1" si="85"/>
        <v>97.844961240310084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IFERROR(__xludf.DUMMYFUNCTION("IMPORTRANGE(""https://docs.google.com/spreadsheets/d/1Yj_ptqi66GCucihVvJfMjLAmec39IyEx_6qawtMGysU/edit?usp=sharing"",""สบก!CK55"")"),32250)</f>
        <v>32250</v>
      </c>
      <c r="N275" s="627">
        <f ca="1">IFERROR(__xludf.DUMMYFUNCTION("IMPORTRANGE(""https://docs.google.com/spreadsheets/d/1Yj_ptqi66GCucihVvJfMjLAmec39IyEx_6qawtMGysU/edit?usp=sharing"",""สบก!CL55"")"),31555)</f>
        <v>31555</v>
      </c>
      <c r="O275" s="169">
        <f ca="1">IF(L275&gt;0,N275*100/L275,0)</f>
        <v>57.164855072463766</v>
      </c>
      <c r="P275" s="169">
        <f ca="1">IF(M275&gt;0,N275*100/M275,0)</f>
        <v>97.844961240310084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IFERROR(__xludf.DUMMYFUNCTION("IMPORTRANGE(""https://docs.google.com/spreadsheets/d/1Yj_ptqi66GCucihVvJfMjLAmec39IyEx_6qawtMGysU/edit?usp=sharing"",""สบก!CI55"")"),0)</f>
        <v>0</v>
      </c>
      <c r="M279" s="625"/>
      <c r="N279" s="622">
        <f ca="1">IFERROR(__xludf.DUMMYFUNCTION("IMPORTRANGE(""https://docs.google.com/spreadsheets/d/1Yj_ptqi66GCucihVvJfMjLAmec39IyEx_6qawtMGysU/edit?usp=sharing"",""สบก!CM55"")"),0)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IFERROR(__xludf.DUMMYFUNCTION("IMPORTRANGE(""https://docs.google.com/spreadsheets/d/1XL5vhW3sbDhbH9Cz0tuDiY8C3ctxq1tqvaCgkFb8cCA/edit?usp=sharing"",""อำนาจเจริญ!J197"")"),0)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IFERROR(__xludf.DUMMYFUNCTION("IMPORTRANGE(""https://docs.google.com/spreadsheets/d/1XL5vhW3sbDhbH9Cz0tuDiY8C3ctxq1tqvaCgkFb8cCA/edit?usp=sharing"",""อำนาจเจริญ!I199"")"),0)</f>
        <v>0</v>
      </c>
      <c r="J289" s="316">
        <f ca="1">IFERROR(__xludf.DUMMYFUNCTION("IMPORTRANGE(""https://docs.google.com/spreadsheets/d/1XL5vhW3sbDhbH9Cz0tuDiY8C3ctxq1tqvaCgkFb8cCA/edit?usp=sharing"",""อำนาจเจริญ!J199"")"),0)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IFERROR(__xludf.DUMMYFUNCTION("IMPORTRANGE(""https://docs.google.com/spreadsheets/d/1Yj_ptqi66GCucihVvJfMjLAmec39IyEx_6qawtMGysU/edit?usp=sharing"",""สบก!CT55"")"),0)</f>
        <v>0</v>
      </c>
      <c r="N294" s="627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IFERROR(__xludf.DUMMYFUNCTION("IMPORTRANGE(""https://docs.google.com/spreadsheets/d/1Yj_ptqi66GCucihVvJfMjLAmec39IyEx_6qawtMGysU/edit?usp=sharing"",""สบก!CR55"")"),0)</f>
        <v>0</v>
      </c>
      <c r="M298" s="625"/>
      <c r="N298" s="622">
        <f ca="1">IFERROR(__xludf.DUMMYFUNCTION("IMPORTRANGE(""https://docs.google.com/spreadsheets/d/1Yj_ptqi66GCucihVvJfMjLAmec39IyEx_6qawtMGysU/edit?usp=sharing"",""สบก!CV55"")"),0)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IFERROR(__xludf.DUMMYFUNCTION("IMPORTRANGE(""https://docs.google.com/spreadsheets/d/1XL5vhW3sbDhbH9Cz0tuDiY8C3ctxq1tqvaCgkFb8cCA/edit?usp=sharing"",""อำนาจเจริญ!J213"")"),0)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IFERROR(__xludf.DUMMYFUNCTION("IMPORTRANGE(""https://docs.google.com/spreadsheets/d/1XL5vhW3sbDhbH9Cz0tuDiY8C3ctxq1tqvaCgkFb8cCA/edit?usp=sharing"",""อำนาจเจริญ!I214"")"),0)</f>
        <v>0</v>
      </c>
      <c r="J309" s="333">
        <f ca="1">IFERROR(__xludf.DUMMYFUNCTION("IMPORTRANGE(""https://docs.google.com/spreadsheets/d/1XL5vhW3sbDhbH9Cz0tuDiY8C3ctxq1tqvaCgkFb8cCA/edit?usp=sharing"",""อำนาจเจริญ!J214"")"),0)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IFERROR(__xludf.DUMMYFUNCTION("IMPORTRANGE(""https://docs.google.com/spreadsheets/d/1Yj_ptqi66GCucihVvJfMjLAmec39IyEx_6qawtMGysU/edit?usp=sharing"",""สบก!DC55"")"),0)</f>
        <v>0</v>
      </c>
      <c r="N314" s="627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IFERROR(__xludf.DUMMYFUNCTION("IMPORTRANGE(""https://docs.google.com/spreadsheets/d/1Yj_ptqi66GCucihVvJfMjLAmec39IyEx_6qawtMGysU/edit?usp=sharing"",""สบก!DA55"")"),0)</f>
        <v>0</v>
      </c>
      <c r="M318" s="625"/>
      <c r="N318" s="622">
        <f ca="1">IFERROR(__xludf.DUMMYFUNCTION("IMPORTRANGE(""https://docs.google.com/spreadsheets/d/1Yj_ptqi66GCucihVvJfMjLAmec39IyEx_6qawtMGysU/edit?usp=sharing"",""สบก!DE55"")"),0)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IFERROR(__xludf.DUMMYFUNCTION("IMPORTRANGE(""https://docs.google.com/spreadsheets/d/1XL5vhW3sbDhbH9Cz0tuDiY8C3ctxq1tqvaCgkFb8cCA/edit?usp=sharing"",""อำนาจเจริญ!J226"")"),0)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IFERROR(__xludf.DUMMYFUNCTION("IMPORTRANGE(""https://docs.google.com/spreadsheets/d/1XL5vhW3sbDhbH9Cz0tuDiY8C3ctxq1tqvaCgkFb8cCA/edit?usp=sharing"",""อำนาจเจริญ!I228"")"),434)</f>
        <v>434</v>
      </c>
      <c r="J328" s="339">
        <f ca="1">IFERROR(__xludf.DUMMYFUNCTION("IMPORTRANGE(""https://docs.google.com/spreadsheets/d/1XL5vhW3sbDhbH9Cz0tuDiY8C3ctxq1tqvaCgkFb8cCA/edit?usp=sharing"",""อำนาจเจริญ!J228"")"),159)</f>
        <v>159</v>
      </c>
      <c r="K328" s="317">
        <f ca="1">IF(I328&gt;0,J328*100/I328,0)</f>
        <v>36.635944700460833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718430</v>
      </c>
      <c r="M329" s="152">
        <f t="shared" ca="1" si="98"/>
        <v>584670</v>
      </c>
      <c r="N329" s="152">
        <f t="shared" ca="1" si="98"/>
        <v>378435</v>
      </c>
      <c r="O329" s="151">
        <f t="shared" ref="O329:O331" ca="1" si="99">IF(L329&gt;0,N329*100/L329,0)</f>
        <v>52.675278036830314</v>
      </c>
      <c r="P329" s="151">
        <f t="shared" ref="P329:P331" ca="1" si="100">IF(M329&gt;0,N329*100/M329,0)</f>
        <v>64.726255836625782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718430</v>
      </c>
      <c r="M331" s="157">
        <f t="shared" ca="1" si="102"/>
        <v>584670</v>
      </c>
      <c r="N331" s="157">
        <f t="shared" ca="1" si="102"/>
        <v>378435</v>
      </c>
      <c r="O331" s="156">
        <f t="shared" ca="1" si="99"/>
        <v>52.675278036830314</v>
      </c>
      <c r="P331" s="156">
        <f t="shared" ca="1" si="100"/>
        <v>64.726255836625782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681930</v>
      </c>
      <c r="M333" s="626">
        <f ca="1">IFERROR(__xludf.DUMMYFUNCTION("IMPORTRANGE(""https://docs.google.com/spreadsheets/d/1Yj_ptqi66GCucihVvJfMjLAmec39IyEx_6qawtMGysU/edit?usp=sharing"",""สบก!DL55"")"),548170)</f>
        <v>548170</v>
      </c>
      <c r="N333" s="627">
        <f ca="1">IFERROR(__xludf.DUMMYFUNCTION("IMPORTRANGE(""https://docs.google.com/spreadsheets/d/1Yj_ptqi66GCucihVvJfMjLAmec39IyEx_6qawtMGysU/edit?usp=sharing"",""สบก!DM55"")"),341935)</f>
        <v>341935</v>
      </c>
      <c r="O333" s="169">
        <f ca="1">IF(L333&gt;0,N333*100/L333,0)</f>
        <v>50.142243338759108</v>
      </c>
      <c r="P333" s="169">
        <f ca="1">IF(M333&gt;0,N333*100/M333,0)</f>
        <v>62.377547111297588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IFERROR(__xludf.DUMMYFUNCTION("IMPORTRANGE(""https://docs.google.com/spreadsheets/d/1Yj_ptqi66GCucihVvJfMjLAmec39IyEx_6qawtMGysU/edit?usp=sharing"",""สบก!DI55"")"),375930)</f>
        <v>375930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IFERROR(__xludf.DUMMYFUNCTION("IMPORTRANGE(""https://docs.google.com/spreadsheets/d/1Yj_ptqi66GCucihVvJfMjLAmec39IyEx_6qawtMGysU/edit?usp=sharing"",""สบก!DJ55"")"),36500)</f>
        <v>36500</v>
      </c>
      <c r="M337" s="625">
        <f ca="1">L337</f>
        <v>36500</v>
      </c>
      <c r="N337" s="622">
        <f ca="1">IFERROR(__xludf.DUMMYFUNCTION("IMPORTRANGE(""https://docs.google.com/spreadsheets/d/1Yj_ptqi66GCucihVvJfMjLAmec39IyEx_6qawtMGysU/edit?usp=sharing"",""สบก!DN55"")"),36500)</f>
        <v>36500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IFERROR(__xludf.DUMMYFUNCTION("IMPORTRANGE(""https://docs.google.com/spreadsheets/d/1XL5vhW3sbDhbH9Cz0tuDiY8C3ctxq1tqvaCgkFb8cCA/edit?usp=sharing"",""อำนาจเจริญ!J234"")"),131)</f>
        <v>131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IFERROR(__xludf.DUMMYFUNCTION("IMPORTRANGE(""https://docs.google.com/spreadsheets/d/1XL5vhW3sbDhbH9Cz0tuDiY8C3ctxq1tqvaCgkFb8cCA/edit?usp=sharing"",""อำนาจเจริญ!I235"")"),2000)</f>
        <v>2000</v>
      </c>
      <c r="J340" s="188">
        <f ca="1">IFERROR(__xludf.DUMMYFUNCTION("IMPORTRANGE(""https://docs.google.com/spreadsheets/d/1XL5vhW3sbDhbH9Cz0tuDiY8C3ctxq1tqvaCgkFb8cCA/edit?usp=sharing"",""อำนาจเจริญ!J235"")"),1337.11)</f>
        <v>1337.11</v>
      </c>
      <c r="K340" s="342">
        <f t="shared" ca="1" si="103"/>
        <v>66.855500000000006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IFERROR(__xludf.DUMMYFUNCTION("IMPORTRANGE(""https://docs.google.com/spreadsheets/d/1XL5vhW3sbDhbH9Cz0tuDiY8C3ctxq1tqvaCgkFb8cCA/edit?usp=sharing"",""อำนาจเจริญ!I236"")"),434)</f>
        <v>434</v>
      </c>
      <c r="J341" s="188">
        <f ca="1">IFERROR(__xludf.DUMMYFUNCTION("IMPORTRANGE(""https://docs.google.com/spreadsheets/d/1XL5vhW3sbDhbH9Cz0tuDiY8C3ctxq1tqvaCgkFb8cCA/edit?usp=sharing"",""อำนาจเจริญ!J236"")"),174)</f>
        <v>174</v>
      </c>
      <c r="K341" s="342">
        <f t="shared" ca="1" si="103"/>
        <v>40.092165898617509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IFERROR(__xludf.DUMMYFUNCTION("IMPORTRANGE(""https://docs.google.com/spreadsheets/d/1XL5vhW3sbDhbH9Cz0tuDiY8C3ctxq1tqvaCgkFb8cCA/edit?usp=sharing"",""อำนาจเจริญ!J237"")"),1653.92)</f>
        <v>1653.92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IFERROR(__xludf.DUMMYFUNCTION("IMPORTRANGE(""https://docs.google.com/spreadsheets/d/1XL5vhW3sbDhbH9Cz0tuDiY8C3ctxq1tqvaCgkFb8cCA/edit?usp=sharing"",""อำนาจเจริญ!I238"")"),434)</f>
        <v>434</v>
      </c>
      <c r="J343" s="188">
        <f ca="1">IFERROR(__xludf.DUMMYFUNCTION("IMPORTRANGE(""https://docs.google.com/spreadsheets/d/1XL5vhW3sbDhbH9Cz0tuDiY8C3ctxq1tqvaCgkFb8cCA/edit?usp=sharing"",""อำนาจเจริญ!J238"")"),9)</f>
        <v>9</v>
      </c>
      <c r="K343" s="342">
        <f t="shared" ca="1" si="103"/>
        <v>2.0737327188940093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IFERROR(__xludf.DUMMYFUNCTION("IMPORTRANGE(""https://docs.google.com/spreadsheets/d/1XL5vhW3sbDhbH9Cz0tuDiY8C3ctxq1tqvaCgkFb8cCA/edit?usp=sharing"",""อำนาจเจริญ!J239"")"),56.88)</f>
        <v>56.88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IFERROR(__xludf.DUMMYFUNCTION("IMPORTRANGE(""https://docs.google.com/spreadsheets/d/1XL5vhW3sbDhbH9Cz0tuDiY8C3ctxq1tqvaCgkFb8cCA/edit?usp=sharing"",""อำนาจเจริญ!I240"")"),434)</f>
        <v>434</v>
      </c>
      <c r="J345" s="188">
        <f ca="1">IFERROR(__xludf.DUMMYFUNCTION("IMPORTRANGE(""https://docs.google.com/spreadsheets/d/1XL5vhW3sbDhbH9Cz0tuDiY8C3ctxq1tqvaCgkFb8cCA/edit?usp=sharing"",""อำนาจเจริญ!J240"")"),159)</f>
        <v>159</v>
      </c>
      <c r="K345" s="342">
        <f t="shared" ca="1" si="103"/>
        <v>36.635944700460833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IFERROR(__xludf.DUMMYFUNCTION("IMPORTRANGE(""https://docs.google.com/spreadsheets/d/1XL5vhW3sbDhbH9Cz0tuDiY8C3ctxq1tqvaCgkFb8cCA/edit?usp=sharing"",""อำนาจเจริญ!J241"")"),1478.84)</f>
        <v>1478.84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IFERROR(__xludf.DUMMYFUNCTION("IMPORTRANGE(""https://docs.google.com/spreadsheets/d/1XL5vhW3sbDhbH9Cz0tuDiY8C3ctxq1tqvaCgkFb8cCA/edit?usp=sharing"",""อำนาจเจริญ!L242"")"),1397144)</f>
        <v>1397144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IFERROR(__xludf.DUMMYFUNCTION("IMPORTRANGE(""https://docs.google.com/spreadsheets/d/1XL5vhW3sbDhbH9Cz0tuDiY8C3ctxq1tqvaCgkFb8cCA/edit?usp=sharing"",""อำนาจเจริญ!M242"")"),527874)</f>
        <v>527874</v>
      </c>
      <c r="O347" s="358">
        <f ca="1">+IF(L347&gt;0,N347*100/L347,0)</f>
        <v>37.782361732219442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IFERROR(__xludf.DUMMYFUNCTION("IMPORTRANGE(""https://docs.google.com/spreadsheets/d/1XL5vhW3sbDhbH9Cz0tuDiY8C3ctxq1tqvaCgkFb8cCA/edit?usp=sharing"",""อำนาจเจริญ!M244"")"),223720)</f>
        <v>223720</v>
      </c>
      <c r="O349" s="373">
        <f ca="1">+IF(L349&gt;0,N349*100/L349,0)</f>
        <v>69.207449112169769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IFERROR(__xludf.DUMMYFUNCTION("IMPORTRANGE(""https://docs.google.com/spreadsheets/d/1XL5vhW3sbDhbH9Cz0tuDiY8C3ctxq1tqvaCgkFb8cCA/edit?usp=sharing"",""อำนาจเจริญ!M247"")"),223720)</f>
        <v>223720</v>
      </c>
      <c r="O352" s="165">
        <f t="shared" ca="1" si="105"/>
        <v>69.207449112169769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IFERROR(__xludf.DUMMYFUNCTION("IMPORTRANGE(""https://docs.google.com/spreadsheets/d/1XL5vhW3sbDhbH9Cz0tuDiY8C3ctxq1tqvaCgkFb8cCA/edit?usp=sharing"",""อำนาจเจริญ!L249"")"),323260)</f>
        <v>323260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IFERROR(__xludf.DUMMYFUNCTION("IMPORTRANGE(""https://docs.google.com/spreadsheets/d/1XL5vhW3sbDhbH9Cz0tuDiY8C3ctxq1tqvaCgkFb8cCA/edit?usp=sharing"",""อำนาจเจริญ!M249"")"),223720)</f>
        <v>223720</v>
      </c>
      <c r="O354" s="169">
        <f t="shared" ca="1" si="105"/>
        <v>69.207449112169769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IFERROR(__xludf.DUMMYFUNCTION("IMPORTRANGE(""https://docs.google.com/spreadsheets/d/1XL5vhW3sbDhbH9Cz0tuDiY8C3ctxq1tqvaCgkFb8cCA/edit?usp=sharing"",""อำนาจเจริญ!M252"")"),67050)</f>
        <v>67050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IFERROR(__xludf.DUMMYFUNCTION("IMPORTRANGE(""https://docs.google.com/spreadsheets/d/1XL5vhW3sbDhbH9Cz0tuDiY8C3ctxq1tqvaCgkFb8cCA/edit?usp=sharing"",""อำนาจเจริญ!M253"")"),10170)</f>
        <v>10170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IFERROR(__xludf.DUMMYFUNCTION("IMPORTRANGE(""https://docs.google.com/spreadsheets/d/1XL5vhW3sbDhbH9Cz0tuDiY8C3ctxq1tqvaCgkFb8cCA/edit?usp=sharing"",""อำนาจเจริญ!J274"")"),0)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IFERROR(__xludf.DUMMYFUNCTION("IMPORTRANGE(""https://docs.google.com/spreadsheets/d/1XL5vhW3sbDhbH9Cz0tuDiY8C3ctxq1tqvaCgkFb8cCA/edit?usp=sharing"",""อำนาจเจริญ!M275"")"),37875)</f>
        <v>37875</v>
      </c>
      <c r="O380" s="373">
        <f ca="1">+IF(L380&gt;0,N380*100/L380,0)</f>
        <v>8.2311905072369278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IFERROR(__xludf.DUMMYFUNCTION("IMPORTRANGE(""https://docs.google.com/spreadsheets/d/1XL5vhW3sbDhbH9Cz0tuDiY8C3ctxq1tqvaCgkFb8cCA/edit?usp=sharing"",""อำนาจเจริญ!M278"")"),37875)</f>
        <v>37875</v>
      </c>
      <c r="O383" s="165">
        <f t="shared" ca="1" si="109"/>
        <v>8.2311905072369278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IFERROR(__xludf.DUMMYFUNCTION("IMPORTRANGE(""https://docs.google.com/spreadsheets/d/1XL5vhW3sbDhbH9Cz0tuDiY8C3ctxq1tqvaCgkFb8cCA/edit?usp=sharing"",""อำนาจเจริญ!M280"")"),37875)</f>
        <v>37875</v>
      </c>
      <c r="O385" s="169">
        <f t="shared" ca="1" si="109"/>
        <v>8.2311905072369278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IFERROR(__xludf.DUMMYFUNCTION("IMPORTRANGE(""https://docs.google.com/spreadsheets/d/1XL5vhW3sbDhbH9Cz0tuDiY8C3ctxq1tqvaCgkFb8cCA/edit?usp=sharing"",""อำนาจเจริญ!M281"")"),33695)</f>
        <v>33695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IFERROR(__xludf.DUMMYFUNCTION("IMPORTRANGE(""https://docs.google.com/spreadsheets/d/1XL5vhW3sbDhbH9Cz0tuDiY8C3ctxq1tqvaCgkFb8cCA/edit?usp=sharing"",""อำนาจเจริญ!M284"")"),4180)</f>
        <v>4180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IFERROR(__xludf.DUMMYFUNCTION("IMPORTRANGE(""https://docs.google.com/spreadsheets/d/1XL5vhW3sbDhbH9Cz0tuDiY8C3ctxq1tqvaCgkFb8cCA/edit?usp=sharing"",""อำนาจเจริญ!J295"")"),0)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IFERROR(__xludf.DUMMYFUNCTION("IMPORTRANGE(""https://docs.google.com/spreadsheets/d/1XL5vhW3sbDhbH9Cz0tuDiY8C3ctxq1tqvaCgkFb8cCA/edit?usp=sharing"",""อำนาจเจริญ!J296"")"),75)</f>
        <v>75</v>
      </c>
      <c r="K401" s="372">
        <f t="shared" ref="K401:K402" ca="1" si="111">IF(I401&gt;0,J401*100/I401,0)</f>
        <v>45.454545454545453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IFERROR(__xludf.DUMMYFUNCTION("IMPORTRANGE(""https://docs.google.com/spreadsheets/d/1XL5vhW3sbDhbH9Cz0tuDiY8C3ctxq1tqvaCgkFb8cCA/edit?usp=sharing"",""อำนาจเจริญ!M296"")"),70614)</f>
        <v>70614</v>
      </c>
      <c r="O401" s="373">
        <f ca="1">+IF(L401&gt;0,N401*100/L401,0)</f>
        <v>40.985547623193455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IFERROR(__xludf.DUMMYFUNCTION("IMPORTRANGE(""https://docs.google.com/spreadsheets/d/1XL5vhW3sbDhbH9Cz0tuDiY8C3ctxq1tqvaCgkFb8cCA/edit?usp=sharing"",""อำนาจเจริญ!M299"")"),70614)</f>
        <v>70614</v>
      </c>
      <c r="O404" s="169">
        <f t="shared" ca="1" si="112"/>
        <v>40.985547623193455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IFERROR(__xludf.DUMMYFUNCTION("IMPORTRANGE(""https://docs.google.com/spreadsheets/d/1XL5vhW3sbDhbH9Cz0tuDiY8C3ctxq1tqvaCgkFb8cCA/edit?usp=sharing"",""อำนาจเจริญ!M301"")"),70614)</f>
        <v>70614</v>
      </c>
      <c r="O406" s="169">
        <f t="shared" ca="1" si="112"/>
        <v>40.985547623193455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IFERROR(__xludf.DUMMYFUNCTION("IMPORTRANGE(""https://docs.google.com/spreadsheets/d/1XL5vhW3sbDhbH9Cz0tuDiY8C3ctxq1tqvaCgkFb8cCA/edit?usp=sharing"",""อำนาจเจริญ!M302"")"),63880)</f>
        <v>63880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IFERROR(__xludf.DUMMYFUNCTION("IMPORTRANGE(""https://docs.google.com/spreadsheets/d/1XL5vhW3sbDhbH9Cz0tuDiY8C3ctxq1tqvaCgkFb8cCA/edit?usp=sharing"",""อำนาจเจริญ!M305"")"),6734)</f>
        <v>6734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IFERROR(__xludf.DUMMYFUNCTION("IMPORTRANGE(""https://docs.google.com/spreadsheets/d/1XL5vhW3sbDhbH9Cz0tuDiY8C3ctxq1tqvaCgkFb8cCA/edit?usp=sharing"",""อำนาจเจริญ!J329"")"),0)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IFERROR(__xludf.DUMMYFUNCTION("IMPORTRANGE(""https://docs.google.com/spreadsheets/d/1XL5vhW3sbDhbH9Cz0tuDiY8C3ctxq1tqvaCgkFb8cCA/edit?usp=sharing"",""อำนาจเจริญ!M330"")"),70940)</f>
        <v>70940</v>
      </c>
      <c r="O435" s="412">
        <f t="shared" ref="O435:O439" ca="1" si="114">+IF(L435&gt;0,N435*100/L435,0)</f>
        <v>66.924528301886795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IFERROR(__xludf.DUMMYFUNCTION("IMPORTRANGE(""https://docs.google.com/spreadsheets/d/1XL5vhW3sbDhbH9Cz0tuDiY8C3ctxq1tqvaCgkFb8cCA/edit?usp=sharing"",""อำนาจเจริญ!M332"")"),70940)</f>
        <v>70940</v>
      </c>
      <c r="O437" s="169">
        <f t="shared" ca="1" si="114"/>
        <v>66.924528301886795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IFERROR(__xludf.DUMMYFUNCTION("IMPORTRANGE(""https://docs.google.com/spreadsheets/d/1XL5vhW3sbDhbH9Cz0tuDiY8C3ctxq1tqvaCgkFb8cCA/edit?usp=sharing"",""อำนาจเจริญ!M334"")"),70940)</f>
        <v>70940</v>
      </c>
      <c r="O439" s="169">
        <f t="shared" ca="1" si="114"/>
        <v>66.924528301886795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IFERROR(__xludf.DUMMYFUNCTION("IMPORTRANGE(""https://docs.google.com/spreadsheets/d/1XL5vhW3sbDhbH9Cz0tuDiY8C3ctxq1tqvaCgkFb8cCA/edit?usp=sharing"",""อำนาจเจริญ!M335"")"),35400)</f>
        <v>35400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IFERROR(__xludf.DUMMYFUNCTION("IMPORTRANGE(""https://docs.google.com/spreadsheets/d/1XL5vhW3sbDhbH9Cz0tuDiY8C3ctxq1tqvaCgkFb8cCA/edit?usp=sharing"",""อำนาจเจริญ!M338"")"),35540)</f>
        <v>35540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IFERROR(__xludf.DUMMYFUNCTION("IMPORTRANGE(""https://docs.google.com/spreadsheets/d/1XL5vhW3sbDhbH9Cz0tuDiY8C3ctxq1tqvaCgkFb8cCA/edit?usp=sharing"",""อำนาจเจริญ!J349"")"),0)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IFERROR(__xludf.DUMMYFUNCTION("IMPORTRANGE(""https://docs.google.com/spreadsheets/d/1XL5vhW3sbDhbH9Cz0tuDiY8C3ctxq1tqvaCgkFb8cCA/edit?usp=sharing"",""อำนาจเจริญ!L350"")"),169284)</f>
        <v>169284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IFERROR(__xludf.DUMMYFUNCTION("IMPORTRANGE(""https://docs.google.com/spreadsheets/d/1XL5vhW3sbDhbH9Cz0tuDiY8C3ctxq1tqvaCgkFb8cCA/edit?usp=sharing"",""อำนาจเจริญ!M350"")"),43730)</f>
        <v>43730</v>
      </c>
      <c r="O455" s="373">
        <f t="shared" ref="O455:O459" ca="1" si="116">+IF(L455&gt;0,N455*100/L455,0)</f>
        <v>25.832329103754638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IFERROR(__xludf.DUMMYFUNCTION("IMPORTRANGE(""https://docs.google.com/spreadsheets/d/1XL5vhW3sbDhbH9Cz0tuDiY8C3ctxq1tqvaCgkFb8cCA/edit?usp=sharing"",""อำนาจเจริญ!L352"")"),169284)</f>
        <v>169284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IFERROR(__xludf.DUMMYFUNCTION("IMPORTRANGE(""https://docs.google.com/spreadsheets/d/1XL5vhW3sbDhbH9Cz0tuDiY8C3ctxq1tqvaCgkFb8cCA/edit?usp=sharing"",""อำนาจเจริญ!M352"")"),43730)</f>
        <v>43730</v>
      </c>
      <c r="O457" s="169">
        <f t="shared" ca="1" si="116"/>
        <v>25.832329103754638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IFERROR(__xludf.DUMMYFUNCTION("IMPORTRANGE(""https://docs.google.com/spreadsheets/d/1XL5vhW3sbDhbH9Cz0tuDiY8C3ctxq1tqvaCgkFb8cCA/edit?usp=sharing"",""อำนาจเจริญ!L354"")"),169284)</f>
        <v>169284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IFERROR(__xludf.DUMMYFUNCTION("IMPORTRANGE(""https://docs.google.com/spreadsheets/d/1XL5vhW3sbDhbH9Cz0tuDiY8C3ctxq1tqvaCgkFb8cCA/edit?usp=sharing"",""อำนาจเจริญ!M354"")"),43730)</f>
        <v>43730</v>
      </c>
      <c r="O459" s="169">
        <f t="shared" ca="1" si="116"/>
        <v>25.832329103754638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IFERROR(__xludf.DUMMYFUNCTION("IMPORTRANGE(""https://docs.google.com/spreadsheets/d/1XL5vhW3sbDhbH9Cz0tuDiY8C3ctxq1tqvaCgkFb8cCA/edit?usp=sharing"",""อำนาจเจริญ!M358"")"),43730)</f>
        <v>43730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IFERROR(__xludf.DUMMYFUNCTION("IMPORTRANGE(""https://docs.google.com/spreadsheets/d/1XL5vhW3sbDhbH9Cz0tuDiY8C3ctxq1tqvaCgkFb8cCA/edit?usp=sharing"",""อำนาจเจริญ!I359"")"),13513)</f>
        <v>13513</v>
      </c>
      <c r="J464" s="267">
        <f ca="1">IFERROR(__xludf.DUMMYFUNCTION("IMPORTRANGE(""https://docs.google.com/spreadsheets/d/1XL5vhW3sbDhbH9Cz0tuDiY8C3ctxq1tqvaCgkFb8cCA/edit?usp=sharing"",""อำนาจเจริญ!J359"")"),0)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IFERROR(__xludf.DUMMYFUNCTION("IMPORTRANGE(""https://docs.google.com/spreadsheets/d/1XL5vhW3sbDhbH9Cz0tuDiY8C3ctxq1tqvaCgkFb8cCA/edit?usp=sharing"",""อำนาจเจริญ!J370"")"),11365)</f>
        <v>11365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IFERROR(__xludf.DUMMYFUNCTION("IMPORTRANGE(""https://docs.google.com/spreadsheets/d/1XL5vhW3sbDhbH9Cz0tuDiY8C3ctxq1tqvaCgkFb8cCA/edit?usp=sharing"",""อำนาจเจริญ!J372"")"),1911)</f>
        <v>1911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IFERROR(__xludf.DUMMYFUNCTION("IMPORTRANGE(""https://docs.google.com/spreadsheets/d/1XL5vhW3sbDhbH9Cz0tuDiY8C3ctxq1tqvaCgkFb8cCA/edit?usp=sharing"",""อำนาจเจริญ!J373"")"),572)</f>
        <v>572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IFERROR(__xludf.DUMMYFUNCTION("IMPORTRANGE(""https://docs.google.com/spreadsheets/d/1XL5vhW3sbDhbH9Cz0tuDiY8C3ctxq1tqvaCgkFb8cCA/edit?usp=sharing"",""อำนาจเจริญ!J374"")"),237)</f>
        <v>237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IFERROR(__xludf.DUMMYFUNCTION("IMPORTRANGE(""https://docs.google.com/spreadsheets/d/1XL5vhW3sbDhbH9Cz0tuDiY8C3ctxq1tqvaCgkFb8cCA/edit?usp=sharing"",""อำนาจเจริญ!J375"")"),67)</f>
        <v>67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IFERROR(__xludf.DUMMYFUNCTION("IMPORTRANGE(""https://docs.google.com/spreadsheets/d/1XL5vhW3sbDhbH9Cz0tuDiY8C3ctxq1tqvaCgkFb8cCA/edit?usp=sharing"",""อำนาจเจริญ!I392"")"),1404)</f>
        <v>1404</v>
      </c>
      <c r="J497" s="443">
        <f ca="1">IFERROR(__xludf.DUMMYFUNCTION("IMPORTRANGE(""https://docs.google.com/spreadsheets/d/1XL5vhW3sbDhbH9Cz0tuDiY8C3ctxq1tqvaCgkFb8cCA/edit?usp=sharing"",""อำนาจเจริญ!J392"")"),904)</f>
        <v>904</v>
      </c>
      <c r="K497" s="444">
        <f t="shared" ca="1" si="117"/>
        <v>64.387464387464391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IFERROR(__xludf.DUMMYFUNCTION("IMPORTRANGE(""https://docs.google.com/spreadsheets/d/1XL5vhW3sbDhbH9Cz0tuDiY8C3ctxq1tqvaCgkFb8cCA/edit?usp=sharing"",""อำนาจเจริญ!I393"")"),1217)</f>
        <v>1217</v>
      </c>
      <c r="J498" s="420">
        <f ca="1">IFERROR(__xludf.DUMMYFUNCTION("IMPORTRANGE(""https://docs.google.com/spreadsheets/d/1XL5vhW3sbDhbH9Cz0tuDiY8C3ctxq1tqvaCgkFb8cCA/edit?usp=sharing"",""อำนาจเจริญ!J393"")"),904)</f>
        <v>904</v>
      </c>
      <c r="K498" s="202">
        <f t="shared" ca="1" si="117"/>
        <v>74.281018898931805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IFERROR(__xludf.DUMMYFUNCTION("IMPORTRANGE(""https://docs.google.com/spreadsheets/d/1XL5vhW3sbDhbH9Cz0tuDiY8C3ctxq1tqvaCgkFb8cCA/edit?usp=sharing"",""อำนาจเจริญ!J394"")"),69)</f>
        <v>69</v>
      </c>
      <c r="K499" s="202">
        <f t="shared" ca="1" si="117"/>
        <v>65.094339622641513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IFERROR(__xludf.DUMMYFUNCTION("IMPORTRANGE(""https://docs.google.com/spreadsheets/d/1XL5vhW3sbDhbH9Cz0tuDiY8C3ctxq1tqvaCgkFb8cCA/edit?usp=sharing"",""อำนาจเจริญ!J395"")"),889)</f>
        <v>889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IFERROR(__xludf.DUMMYFUNCTION("IMPORTRANGE(""https://docs.google.com/spreadsheets/d/1XL5vhW3sbDhbH9Cz0tuDiY8C3ctxq1tqvaCgkFb8cCA/edit?usp=sharing"",""อำนาจเจริญ!J396"")"),66)</f>
        <v>66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IFERROR(__xludf.DUMMYFUNCTION("IMPORTRANGE(""https://docs.google.com/spreadsheets/d/1XL5vhW3sbDhbH9Cz0tuDiY8C3ctxq1tqvaCgkFb8cCA/edit?usp=sharing"",""อำนาจเจริญ!J397"")"),871)</f>
        <v>871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IFERROR(__xludf.DUMMYFUNCTION("IMPORTRANGE(""https://docs.google.com/spreadsheets/d/1XL5vhW3sbDhbH9Cz0tuDiY8C3ctxq1tqvaCgkFb8cCA/edit?usp=sharing"",""อำนาจเจริญ!J398"")"),64)</f>
        <v>64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IFERROR(__xludf.DUMMYFUNCTION("IMPORTRANGE(""https://docs.google.com/spreadsheets/d/1XL5vhW3sbDhbH9Cz0tuDiY8C3ctxq1tqvaCgkFb8cCA/edit?usp=sharing"",""อำนาจเจริญ!J399"")"),18)</f>
        <v>18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IFERROR(__xludf.DUMMYFUNCTION("IMPORTRANGE(""https://docs.google.com/spreadsheets/d/1XL5vhW3sbDhbH9Cz0tuDiY8C3ctxq1tqvaCgkFb8cCA/edit?usp=sharing"",""อำนาจเจริญ!J407"")"),10)</f>
        <v>10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IFERROR(__xludf.DUMMYFUNCTION("IMPORTRANGE(""https://docs.google.com/spreadsheets/d/1XL5vhW3sbDhbH9Cz0tuDiY8C3ctxq1tqvaCgkFb8cCA/edit?usp=sharing"",""อำนาจเจริญ!I411"")"),0)</f>
        <v>0</v>
      </c>
      <c r="J516" s="267">
        <f ca="1">IFERROR(__xludf.DUMMYFUNCTION("IMPORTRANGE(""https://docs.google.com/spreadsheets/d/1XL5vhW3sbDhbH9Cz0tuDiY8C3ctxq1tqvaCgkFb8cCA/edit?usp=sharing"",""อำนาจเจริญ!J411"")"),0)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IFERROR(__xludf.DUMMYFUNCTION("IMPORTRANGE(""https://docs.google.com/spreadsheets/d/1XL5vhW3sbDhbH9Cz0tuDiY8C3ctxq1tqvaCgkFb8cCA/edit?usp=sharing"",""อำนาจเจริญ!I412"")"),0)</f>
        <v>0</v>
      </c>
      <c r="J517" s="284">
        <f ca="1">IFERROR(__xludf.DUMMYFUNCTION("IMPORTRANGE(""https://docs.google.com/spreadsheets/d/1XL5vhW3sbDhbH9Cz0tuDiY8C3ctxq1tqvaCgkFb8cCA/edit?usp=sharing"",""อำนาจเจริญ!J412"")"),0)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IFERROR(__xludf.DUMMYFUNCTION("IMPORTRANGE(""https://docs.google.com/spreadsheets/d/1XL5vhW3sbDhbH9Cz0tuDiY8C3ctxq1tqvaCgkFb8cCA/edit?usp=sharing"",""อำนาจเจริญ!I413"")"),0)</f>
        <v>0</v>
      </c>
      <c r="J518" s="284">
        <f ca="1">IFERROR(__xludf.DUMMYFUNCTION("IMPORTRANGE(""https://docs.google.com/spreadsheets/d/1XL5vhW3sbDhbH9Cz0tuDiY8C3ctxq1tqvaCgkFb8cCA/edit?usp=sharing"",""อำนาจเจริญ!J413"")"),0)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IFERROR(__xludf.DUMMYFUNCTION("IMPORTRANGE(""https://docs.google.com/spreadsheets/d/1XL5vhW3sbDhbH9Cz0tuDiY8C3ctxq1tqvaCgkFb8cCA/edit?usp=sharing"",""อำนาจเจริญ!I420"")"),0)</f>
        <v>0</v>
      </c>
      <c r="J525" s="284">
        <f ca="1">IFERROR(__xludf.DUMMYFUNCTION("IMPORTRANGE(""https://docs.google.com/spreadsheets/d/1XL5vhW3sbDhbH9Cz0tuDiY8C3ctxq1tqvaCgkFb8cCA/edit?usp=sharing"",""อำนาจเจริญ!J420"")"),0)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IFERROR(__xludf.DUMMYFUNCTION("IMPORTRANGE(""https://docs.google.com/spreadsheets/d/1XL5vhW3sbDhbH9Cz0tuDiY8C3ctxq1tqvaCgkFb8cCA/edit?usp=sharing"",""อำนาจเจริญ!I421"")"),0)</f>
        <v>0</v>
      </c>
      <c r="J526" s="284">
        <f ca="1">IFERROR(__xludf.DUMMYFUNCTION("IMPORTRANGE(""https://docs.google.com/spreadsheets/d/1XL5vhW3sbDhbH9Cz0tuDiY8C3ctxq1tqvaCgkFb8cCA/edit?usp=sharing"",""อำนาจเจริญ!J421"")"),0)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IFERROR(__xludf.DUMMYFUNCTION("IMPORTRANGE(""https://docs.google.com/spreadsheets/d/1XL5vhW3sbDhbH9Cz0tuDiY8C3ctxq1tqvaCgkFb8cCA/edit?usp=sharing"",""อำนาจเจริญ!M428"")"),23700)</f>
        <v>23700</v>
      </c>
      <c r="O533" s="412">
        <f t="shared" ref="O533:O537" ca="1" si="118">+IF(L533&gt;0,N533*100/L533,0)</f>
        <v>69.015725101921959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IFERROR(__xludf.DUMMYFUNCTION("IMPORTRANGE(""https://docs.google.com/spreadsheets/d/1XL5vhW3sbDhbH9Cz0tuDiY8C3ctxq1tqvaCgkFb8cCA/edit?usp=sharing"",""อำนาจเจริญ!M430"")"),23700)</f>
        <v>23700</v>
      </c>
      <c r="O535" s="169">
        <f t="shared" ca="1" si="118"/>
        <v>69.015725101921959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IFERROR(__xludf.DUMMYFUNCTION("IMPORTRANGE(""https://docs.google.com/spreadsheets/d/1XL5vhW3sbDhbH9Cz0tuDiY8C3ctxq1tqvaCgkFb8cCA/edit?usp=sharing"",""อำนาจเจริญ!M432"")"),23700)</f>
        <v>23700</v>
      </c>
      <c r="O537" s="169">
        <f t="shared" ca="1" si="118"/>
        <v>69.015725101921959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IFERROR(__xludf.DUMMYFUNCTION("IMPORTRANGE(""https://docs.google.com/spreadsheets/d/1XL5vhW3sbDhbH9Cz0tuDiY8C3ctxq1tqvaCgkFb8cCA/edit?usp=sharing"",""อำนาจเจริญ!M433"")"),14980)</f>
        <v>14980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IFERROR(__xludf.DUMMYFUNCTION("IMPORTRANGE(""https://docs.google.com/spreadsheets/d/1XL5vhW3sbDhbH9Cz0tuDiY8C3ctxq1tqvaCgkFb8cCA/edit?usp=sharing"",""อำนาจเจริญ!M436"")"),8720)</f>
        <v>8720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IFERROR(__xludf.DUMMYFUNCTION("IMPORTRANGE(""https://docs.google.com/spreadsheets/d/1XL5vhW3sbDhbH9Cz0tuDiY8C3ctxq1tqvaCgkFb8cCA/edit?usp=sharing"",""อำนาจเจริญ!J459"")"),1060)</f>
        <v>1060</v>
      </c>
      <c r="K564" s="372">
        <f ca="1">IF(I564&gt;0,J564*100/I564,0)</f>
        <v>72.602739726027394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IFERROR(__xludf.DUMMYFUNCTION("IMPORTRANGE(""https://docs.google.com/spreadsheets/d/1XL5vhW3sbDhbH9Cz0tuDiY8C3ctxq1tqvaCgkFb8cCA/edit?usp=sharing"",""อำนาจเจริญ!M459"")"),56295)</f>
        <v>56295</v>
      </c>
      <c r="O564" s="373">
        <f t="shared" ref="O564:O568" ca="1" si="122">+IF(L564&gt;0,N564*100/L564,0)</f>
        <v>44.22925832809554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IFERROR(__xludf.DUMMYFUNCTION("IMPORTRANGE(""https://docs.google.com/spreadsheets/d/1XL5vhW3sbDhbH9Cz0tuDiY8C3ctxq1tqvaCgkFb8cCA/edit?usp=sharing"",""อำนาจเจริญ!M461"")"),56295)</f>
        <v>56295</v>
      </c>
      <c r="O566" s="169">
        <f t="shared" ca="1" si="122"/>
        <v>44.22925832809554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IFERROR(__xludf.DUMMYFUNCTION("IMPORTRANGE(""https://docs.google.com/spreadsheets/d/1XL5vhW3sbDhbH9Cz0tuDiY8C3ctxq1tqvaCgkFb8cCA/edit?usp=sharing"",""อำนาจเจริญ!M463"")"),56295)</f>
        <v>56295</v>
      </c>
      <c r="O568" s="169">
        <f t="shared" ca="1" si="122"/>
        <v>44.22925832809554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IFERROR(__xludf.DUMMYFUNCTION("IMPORTRANGE(""https://docs.google.com/spreadsheets/d/1XL5vhW3sbDhbH9Cz0tuDiY8C3ctxq1tqvaCgkFb8cCA/edit?usp=sharing"",""อำนาจเจริญ!M466"")"),44000)</f>
        <v>44000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IFERROR(__xludf.DUMMYFUNCTION("IMPORTRANGE(""https://docs.google.com/spreadsheets/d/1XL5vhW3sbDhbH9Cz0tuDiY8C3ctxq1tqvaCgkFb8cCA/edit?usp=sharing"",""อำนาจเจริญ!M467"")"),12295)</f>
        <v>12295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IFERROR(__xludf.DUMMYFUNCTION("IMPORTRANGE(""https://docs.google.com/spreadsheets/d/1XL5vhW3sbDhbH9Cz0tuDiY8C3ctxq1tqvaCgkFb8cCA/edit?usp=sharing"",""อำนาจเจริญ!J468"")"),1060)</f>
        <v>1060</v>
      </c>
      <c r="K573" s="202">
        <f ca="1">IF(I573&gt;0,J573*100/I573,0)</f>
        <v>72.602739726027394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IFERROR(__xludf.DUMMYFUNCTION("IMPORTRANGE(""https://docs.google.com/spreadsheets/d/1XL5vhW3sbDhbH9Cz0tuDiY8C3ctxq1tqvaCgkFb8cCA/edit?usp=sharing"",""อำนาจเจริญ!I470"")"),0)</f>
        <v>0</v>
      </c>
      <c r="J575" s="198">
        <f ca="1">IFERROR(__xludf.DUMMYFUNCTION("IMPORTRANGE(""https://docs.google.com/spreadsheets/d/1XL5vhW3sbDhbH9Cz0tuDiY8C3ctxq1tqvaCgkFb8cCA/edit?usp=sharing"",""อำนาจเจริญ!J470"")"),6)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IFERROR(__xludf.DUMMYFUNCTION("IMPORTRANGE(""https://docs.google.com/spreadsheets/d/1XL5vhW3sbDhbH9Cz0tuDiY8C3ctxq1tqvaCgkFb8cCA/edit?usp=sharing"",""อำนาจเจริญ!J471"")"),84)</f>
        <v>84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IFERROR(__xludf.DUMMYFUNCTION("IMPORTRANGE(""https://docs.google.com/spreadsheets/d/1XL5vhW3sbDhbH9Cz0tuDiY8C3ctxq1tqvaCgkFb8cCA/edit?usp=sharing"",""อำนาจเจริญ!J472"")"),976)</f>
        <v>976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IFERROR(__xludf.DUMMYFUNCTION("IMPORTRANGE(""https://docs.google.com/spreadsheets/d/1XL5vhW3sbDhbH9Cz0tuDiY8C3ctxq1tqvaCgkFb8cCA/edit?usp=sharing"",""อำนาจเจริญ!I491"")"),0)</f>
        <v>0</v>
      </c>
      <c r="J596" s="241">
        <f ca="1">IFERROR(__xludf.DUMMYFUNCTION("IMPORTRANGE(""https://docs.google.com/spreadsheets/d/1XL5vhW3sbDhbH9Cz0tuDiY8C3ctxq1tqvaCgkFb8cCA/edit?usp=sharing"",""อำนาจเจริญ!J491"")"),0)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7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IFERROR(__xludf.DUMMYFUNCTION("IMPORTRANGE(""https://docs.google.com/spreadsheets/d/1XL5vhW3sbDhbH9Cz0tuDiY8C3ctxq1tqvaCgkFb8cCA/edit?usp=sharing"",""อำนาจเจริญ!M492"")"),1000)</f>
        <v>1000</v>
      </c>
      <c r="O597" s="412">
        <f t="shared" ref="O597:O601" ca="1" si="126">+IF(L597&gt;0,N597*100/L597,0)</f>
        <v>21.978021978021978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IFERROR(__xludf.DUMMYFUNCTION("IMPORTRANGE(""https://docs.google.com/spreadsheets/d/1XL5vhW3sbDhbH9Cz0tuDiY8C3ctxq1tqvaCgkFb8cCA/edit?usp=sharing"",""อำนาจเจริญ!M494"")"),1000)</f>
        <v>1000</v>
      </c>
      <c r="O599" s="169">
        <f t="shared" ca="1" si="126"/>
        <v>21.978021978021978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IFERROR(__xludf.DUMMYFUNCTION("IMPORTRANGE(""https://docs.google.com/spreadsheets/d/1XL5vhW3sbDhbH9Cz0tuDiY8C3ctxq1tqvaCgkFb8cCA/edit?usp=sharing"",""อำนาจเจริญ!M496"")"),1000)</f>
        <v>1000</v>
      </c>
      <c r="O601" s="169">
        <f t="shared" ca="1" si="126"/>
        <v>21.978021978021978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IFERROR(__xludf.DUMMYFUNCTION("IMPORTRANGE(""https://docs.google.com/spreadsheets/d/1XL5vhW3sbDhbH9Cz0tuDiY8C3ctxq1tqvaCgkFb8cCA/edit?usp=sharing"",""อำนาจเจริญ!M500"")"),1000)</f>
        <v>1000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IFERROR(__xludf.DUMMYFUNCTION("IMPORTRANGE(""https://docs.google.com/spreadsheets/d/1XL5vhW3sbDhbH9Cz0tuDiY8C3ctxq1tqvaCgkFb8cCA/edit?usp=sharing"",""อำนาจเจริญ!J166"")"),0)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IFERROR(__xludf.DUMMYFUNCTION("IMPORTRANGE(""https://docs.google.com/spreadsheets/d/1XL5vhW3sbDhbH9Cz0tuDiY8C3ctxq1tqvaCgkFb8cCA/edit?usp=sharing"",""อำนาจเจริญ!J166"")"),0)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1">
        <f ca="1">IFERROR(__xludf.DUMMYFUNCTION("IMPORTRANGE(""https://docs.google.com/spreadsheets/d/1XL5vhW3sbDhbH9Cz0tuDiY8C3ctxq1tqvaCgkFb8cCA/edit?usp=sharing"",""อำนาจเจริญ!J523"")"),2336394.72)</f>
        <v>2336394.7200000002</v>
      </c>
      <c r="K628" s="342">
        <f t="shared" ref="K628:K635" ca="1" si="129">IF(I628&gt;0,J628*100/I628,0)</f>
        <v>58.264217797405152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IFERROR(__xludf.DUMMYFUNCTION("IMPORTRANGE(""https://docs.google.com/spreadsheets/d/1XL5vhW3sbDhbH9Cz0tuDiY8C3ctxq1tqvaCgkFb8cCA/edit?usp=sharing"",""อำนาจเจริญ!I524"")"),351)</f>
        <v>351</v>
      </c>
      <c r="J629" s="341">
        <f ca="1">IFERROR(__xludf.DUMMYFUNCTION("IMPORTRANGE(""https://docs.google.com/spreadsheets/d/1XL5vhW3sbDhbH9Cz0tuDiY8C3ctxq1tqvaCgkFb8cCA/edit?usp=sharing"",""อำนาจเจริญ!J524"")"),196)</f>
        <v>196</v>
      </c>
      <c r="K629" s="342">
        <f t="shared" ca="1" si="129"/>
        <v>55.840455840455839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1">
        <f ca="1">IFERROR(__xludf.DUMMYFUNCTION("IMPORTRANGE(""https://docs.google.com/spreadsheets/d/1XL5vhW3sbDhbH9Cz0tuDiY8C3ctxq1tqvaCgkFb8cCA/edit?usp=sharing"",""อำนาจเจริญ!J525"")"),652691.76)</f>
        <v>652691.76</v>
      </c>
      <c r="K630" s="342">
        <f t="shared" ca="1" si="129"/>
        <v>16.74976308422324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IFERROR(__xludf.DUMMYFUNCTION("IMPORTRANGE(""https://docs.google.com/spreadsheets/d/1XL5vhW3sbDhbH9Cz0tuDiY8C3ctxq1tqvaCgkFb8cCA/edit?usp=sharing"",""อำนาจเจริญ!I526"")"),221)</f>
        <v>221</v>
      </c>
      <c r="J631" s="341">
        <f ca="1">IFERROR(__xludf.DUMMYFUNCTION("IMPORTRANGE(""https://docs.google.com/spreadsheets/d/1XL5vhW3sbDhbH9Cz0tuDiY8C3ctxq1tqvaCgkFb8cCA/edit?usp=sharing"",""อำนาจเจริญ!J526"")"),118)</f>
        <v>118</v>
      </c>
      <c r="K631" s="342">
        <f t="shared" ca="1" si="129"/>
        <v>53.393665158371043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IFERROR(__xludf.DUMMYFUNCTION("IMPORTRANGE(""https://docs.google.com/spreadsheets/d/1XL5vhW3sbDhbH9Cz0tuDiY8C3ctxq1tqvaCgkFb8cCA/edit?usp=sharing"",""อำนาจเจริญ!I527"")"),0)</f>
        <v>0</v>
      </c>
      <c r="J632" s="341">
        <f ca="1">IFERROR(__xludf.DUMMYFUNCTION("IMPORTRANGE(""https://docs.google.com/spreadsheets/d/1XL5vhW3sbDhbH9Cz0tuDiY8C3ctxq1tqvaCgkFb8cCA/edit?usp=sharing"",""อำนาจเจริญ!J527"")"),31372.75)</f>
        <v>31372.75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IFERROR(__xludf.DUMMYFUNCTION("IMPORTRANGE(""https://docs.google.com/spreadsheets/d/1XL5vhW3sbDhbH9Cz0tuDiY8C3ctxq1tqvaCgkFb8cCA/edit?usp=sharing"",""อำนาจเจริญ!I528"")"),0)</f>
        <v>0</v>
      </c>
      <c r="J633" s="341">
        <f ca="1">IFERROR(__xludf.DUMMYFUNCTION("IMPORTRANGE(""https://docs.google.com/spreadsheets/d/1XL5vhW3sbDhbH9Cz0tuDiY8C3ctxq1tqvaCgkFb8cCA/edit?usp=sharing"",""อำนาจเจริญ!J528"")"),5)</f>
        <v>5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1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IFERROR(__xludf.DUMMYFUNCTION("IMPORTRANGE(""https://docs.google.com/spreadsheets/d/1XL5vhW3sbDhbH9Cz0tuDiY8C3ctxq1tqvaCgkFb8cCA/edit?usp=sharing"",""อำนาจเจริญ!I530"")"),150)</f>
        <v>150</v>
      </c>
      <c r="J635" s="504">
        <f ca="1">IFERROR(__xludf.DUMMYFUNCTION("IMPORTRANGE(""https://docs.google.com/spreadsheets/d/1XL5vhW3sbDhbH9Cz0tuDiY8C3ctxq1tqvaCgkFb8cCA/edit?usp=sharing"",""อำนาจเจริญ!J530"")"),156)</f>
        <v>156</v>
      </c>
      <c r="K635" s="486">
        <f t="shared" ca="1" si="129"/>
        <v>104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IFERROR(__xludf.DUMMYFUNCTION("IMPORTRANGE(""https://docs.google.com/spreadsheets/d/1XL5vhW3sbDhbH9Cz0tuDiY8C3ctxq1tqvaCgkFb8cCA/edit#gid=346597447"",""อำนาจเจริญ!J541"")"),0)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IFERROR(__xludf.DUMMYFUNCTION("IMPORTRANGE(""https://docs.google.com/spreadsheets/d/1XL5vhW3sbDhbH9Cz0tuDiY8C3ctxq1tqvaCgkFb8cCA/edit#gid=346597447"",""อำนาจเจริญ!J542"")"),0)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IFERROR(__xludf.DUMMYFUNCTION("IMPORTRANGE(""https://docs.google.com/spreadsheets/d/1XL5vhW3sbDhbH9Cz0tuDiY8C3ctxq1tqvaCgkFb8cCA/edit#gid=346597447"",""อำนาจเจริญ!I543"")"),0)</f>
        <v>0</v>
      </c>
      <c r="J648" s="585">
        <f ca="1">IFERROR(__xludf.DUMMYFUNCTION("IMPORTRANGE(""https://docs.google.com/spreadsheets/d/1XL5vhW3sbDhbH9Cz0tuDiY8C3ctxq1tqvaCgkFb8cCA/edit#gid=346597447"",""อำนาจเจริญ!J543"")"),0)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IFERROR(__xludf.DUMMYFUNCTION("IMPORTRANGE(""https://docs.google.com/spreadsheets/d/1XL5vhW3sbDhbH9Cz0tuDiY8C3ctxq1tqvaCgkFb8cCA/edit#gid=346597447"",""อำนาจเจริญ!L543"")"),0)</f>
        <v>0</v>
      </c>
      <c r="M648" s="570"/>
      <c r="N648" s="587">
        <f ca="1">IFERROR(__xludf.DUMMYFUNCTION("IMPORTRANGE(""https://docs.google.com/spreadsheets/d/1XL5vhW3sbDhbH9Cz0tuDiY8C3ctxq1tqvaCgkFb8cCA/edit#gid=346597447"",""อำนาจเจริญ!M543"")"),0)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IFERROR(__xludf.DUMMYFUNCTION("IMPORTRANGE(""https://docs.google.com/spreadsheets/d/1XL5vhW3sbDhbH9Cz0tuDiY8C3ctxq1tqvaCgkFb8cCA/edit#gid=346597447"",""อำนาจเจริญ!I544"")"),0)</f>
        <v>0</v>
      </c>
      <c r="J649" s="585">
        <f ca="1">IFERROR(__xludf.DUMMYFUNCTION("IMPORTRANGE(""https://docs.google.com/spreadsheets/d/1XL5vhW3sbDhbH9Cz0tuDiY8C3ctxq1tqvaCgkFb8cCA/edit#gid=346597447"",""อำนาจเจริญ!J544"")"),0)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IFERROR(__xludf.DUMMYFUNCTION("IMPORTRANGE(""https://docs.google.com/spreadsheets/d/1XL5vhW3sbDhbH9Cz0tuDiY8C3ctxq1tqvaCgkFb8cCA/edit#gid=346597447"",""อำนาจเจริญ!L544"")"),0)</f>
        <v>0</v>
      </c>
      <c r="M649" s="570"/>
      <c r="N649" s="587">
        <f ca="1">IFERROR(__xludf.DUMMYFUNCTION("IMPORTRANGE(""https://docs.google.com/spreadsheets/d/1XL5vhW3sbDhbH9Cz0tuDiY8C3ctxq1tqvaCgkFb8cCA/edit#gid=346597447"",""อำนาจเจริญ!M544"")"),0)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IFERROR(__xludf.DUMMYFUNCTION("IMPORTRANGE(""https://docs.google.com/spreadsheets/d/1XL5vhW3sbDhbH9Cz0tuDiY8C3ctxq1tqvaCgkFb8cCA/edit#gid=346597447"",""อำนาจเจริญ!I545"")"),0)</f>
        <v>0</v>
      </c>
      <c r="J650" s="585">
        <f ca="1">IFERROR(__xludf.DUMMYFUNCTION("IMPORTRANGE(""https://docs.google.com/spreadsheets/d/1XL5vhW3sbDhbH9Cz0tuDiY8C3ctxq1tqvaCgkFb8cCA/edit#gid=346597447"",""อำนาจเจริญ!J545"")"),0)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IFERROR(__xludf.DUMMYFUNCTION("IMPORTRANGE(""https://docs.google.com/spreadsheets/d/1XL5vhW3sbDhbH9Cz0tuDiY8C3ctxq1tqvaCgkFb8cCA/edit#gid=346597447"",""อำนาจเจริญ!L545"")"),0)</f>
        <v>0</v>
      </c>
      <c r="M650" s="570"/>
      <c r="N650" s="587">
        <f ca="1">IFERROR(__xludf.DUMMYFUNCTION("IMPORTRANGE(""https://docs.google.com/spreadsheets/d/1XL5vhW3sbDhbH9Cz0tuDiY8C3ctxq1tqvaCgkFb8cCA/edit#gid=346597447"",""อำนาจเจริญ!M545"")"),0)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IFERROR(__xludf.DUMMYFUNCTION("IMPORTRANGE(""https://docs.google.com/spreadsheets/d/1XL5vhW3sbDhbH9Cz0tuDiY8C3ctxq1tqvaCgkFb8cCA/edit#gid=346597447"",""อำนาจเจริญ!I546"")"),0)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IFERROR(__xludf.DUMMYFUNCTION("IMPORTRANGE(""https://docs.google.com/spreadsheets/d/1XL5vhW3sbDhbH9Cz0tuDiY8C3ctxq1tqvaCgkFb8cCA/edit#gid=346597447"",""อำนาจเจริญ!L546"")"),0)</f>
        <v>0</v>
      </c>
      <c r="M651" s="570"/>
      <c r="N651" s="587">
        <f ca="1">IFERROR(__xludf.DUMMYFUNCTION("IMPORTRANGE(""https://docs.google.com/spreadsheets/d/1XL5vhW3sbDhbH9Cz0tuDiY8C3ctxq1tqvaCgkFb8cCA/edit#gid=346597447"",""อำนาจเจริญ!M546"")"),0)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IFERROR(__xludf.DUMMYFUNCTION("IMPORTRANGE(""https://docs.google.com/spreadsheets/d/1XL5vhW3sbDhbH9Cz0tuDiY8C3ctxq1tqvaCgkFb8cCA/edit#gid=346597447"",""อำนาจเจริญ!J547"")"),0)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IFERROR(__xludf.DUMMYFUNCTION("IMPORTRANGE(""https://docs.google.com/spreadsheets/d/1XL5vhW3sbDhbH9Cz0tuDiY8C3ctxq1tqvaCgkFb8cCA/edit#gid=346597447"",""อำนาจเจริญ!J548"")"),0)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IFERROR(__xludf.DUMMYFUNCTION("IMPORTRANGE(""https://docs.google.com/spreadsheets/d/1XL5vhW3sbDhbH9Cz0tuDiY8C3ctxq1tqvaCgkFb8cCA/edit#gid=346597447"",""อำนาจเจริญ!J550"")"),0)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IFERROR(__xludf.DUMMYFUNCTION("IMPORTRANGE(""https://docs.google.com/spreadsheets/d/1XL5vhW3sbDhbH9Cz0tuDiY8C3ctxq1tqvaCgkFb8cCA/edit#gid=346597447"",""อำนาจเจริญ!J551"")"),0)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IFERROR(__xludf.DUMMYFUNCTION("IMPORTRANGE(""https://docs.google.com/spreadsheets/d/1XL5vhW3sbDhbH9Cz0tuDiY8C3ctxq1tqvaCgkFb8cCA/edit#gid=346597447"",""อำนาจเจริญ!J552"")"),0)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IFERROR(__xludf.DUMMYFUNCTION("IMPORTRANGE(""https://docs.google.com/spreadsheets/d/1XL5vhW3sbDhbH9Cz0tuDiY8C3ctxq1tqvaCgkFb8cCA/edit#gid=346597447"",""อำนาจเจริญ!J553"")"),0)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IFERROR(__xludf.DUMMYFUNCTION("IMPORTRANGE(""https://docs.google.com/spreadsheets/d/1XL5vhW3sbDhbH9Cz0tuDiY8C3ctxq1tqvaCgkFb8cCA/edit#gid=346597447"",""อำนาจเจริญ!J554"")"),0)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IFERROR(__xludf.DUMMYFUNCTION("IMPORTRANGE(""https://docs.google.com/spreadsheets/d/1XL5vhW3sbDhbH9Cz0tuDiY8C3ctxq1tqvaCgkFb8cCA/edit#gid=346597447"",""อำนาจเจริญ!J555"")"),0)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IFERROR(__xludf.DUMMYFUNCTION("IMPORTRANGE(""https://docs.google.com/spreadsheets/d/1XL5vhW3sbDhbH9Cz0tuDiY8C3ctxq1tqvaCgkFb8cCA/edit#gid=346597447"",""อำนาจเจริญ!J556"")"),0)</f>
        <v>0</v>
      </c>
      <c r="K661" s="586"/>
      <c r="L661" s="571">
        <f ca="1">IFERROR(__xludf.DUMMYFUNCTION("IMPORTRANGE(""https://docs.google.com/spreadsheets/d/1XL5vhW3sbDhbH9Cz0tuDiY8C3ctxq1tqvaCgkFb8cCA/edit#gid=346597447"",""อำนาจเจริญ!L556"")"),0)</f>
        <v>0</v>
      </c>
      <c r="M661" s="570"/>
      <c r="N661" s="587">
        <f ca="1">IFERROR(__xludf.DUMMYFUNCTION("IMPORTRANGE(""https://docs.google.com/spreadsheets/d/1XL5vhW3sbDhbH9Cz0tuDiY8C3ctxq1tqvaCgkFb8cCA/edit#gid=346597447"",""อำนาจเจริญ!M556"")"),0)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IFERROR(__xludf.DUMMYFUNCTION("IMPORTRANGE(""https://docs.google.com/spreadsheets/d/1XL5vhW3sbDhbH9Cz0tuDiY8C3ctxq1tqvaCgkFb8cCA/edit#gid=346597447"",""อำนาจเจริญ!J557"")"),0)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IFERROR(__xludf.DUMMYFUNCTION("IMPORTRANGE(""https://docs.google.com/spreadsheets/d/1XL5vhW3sbDhbH9Cz0tuDiY8C3ctxq1tqvaCgkFb8cCA/edit#gid=346597447"",""อำนาจเจริญ!I558"")"),0)</f>
        <v>0</v>
      </c>
      <c r="J663" s="585">
        <f ca="1">IFERROR(__xludf.DUMMYFUNCTION("IMPORTRANGE(""https://docs.google.com/spreadsheets/d/1XL5vhW3sbDhbH9Cz0tuDiY8C3ctxq1tqvaCgkFb8cCA/edit#gid=346597447"",""อำนาจเจริญ!J558"")"),0)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IFERROR(__xludf.DUMMYFUNCTION("IMPORTRANGE(""https://docs.google.com/spreadsheets/d/1XL5vhW3sbDhbH9Cz0tuDiY8C3ctxq1tqvaCgkFb8cCA/edit#gid=346597447"",""อำนาจเจริญ!I560"")"),0)</f>
        <v>0</v>
      </c>
      <c r="J665" s="585">
        <f ca="1">IFERROR(__xludf.DUMMYFUNCTION("IMPORTRANGE(""https://docs.google.com/spreadsheets/d/1XL5vhW3sbDhbH9Cz0tuDiY8C3ctxq1tqvaCgkFb8cCA/edit#gid=346597447"",""อำนาจเจริญ!J560"")"),0)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IFERROR(__xludf.DUMMYFUNCTION("IMPORTRANGE(""https://docs.google.com/spreadsheets/d/1XL5vhW3sbDhbH9Cz0tuDiY8C3ctxq1tqvaCgkFb8cCA/edit#gid=346597447"",""อำนาจเจริญ!L560"")"),0)</f>
        <v>0</v>
      </c>
      <c r="M665" s="570"/>
      <c r="N665" s="587">
        <f ca="1">IFERROR(__xludf.DUMMYFUNCTION("IMPORTRANGE(""https://docs.google.com/spreadsheets/d/1XL5vhW3sbDhbH9Cz0tuDiY8C3ctxq1tqvaCgkFb8cCA/edit#gid=346597447"",""อำนาจเจริญ!M560"")"),0)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IFERROR(__xludf.DUMMYFUNCTION("IMPORTRANGE(""https://docs.google.com/spreadsheets/d/1XL5vhW3sbDhbH9Cz0tuDiY8C3ctxq1tqvaCgkFb8cCA/edit#gid=346597447"",""อำนาจเจริญ!J561"")"),0)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IFERROR(__xludf.DUMMYFUNCTION("IMPORTRANGE(""https://docs.google.com/spreadsheets/d/1XL5vhW3sbDhbH9Cz0tuDiY8C3ctxq1tqvaCgkFb8cCA/edit#gid=346597447"",""อำนาจเจริญ!J562"")"),0)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IFERROR(__xludf.DUMMYFUNCTION("IMPORTRANGE(""https://docs.google.com/spreadsheets/d/1XL5vhW3sbDhbH9Cz0tuDiY8C3ctxq1tqvaCgkFb8cCA/edit#gid=346597447"",""อำนาจเจริญ!I563"")"),0)</f>
        <v>0</v>
      </c>
      <c r="J668" s="585">
        <f ca="1">IFERROR(__xludf.DUMMYFUNCTION("IMPORTRANGE(""https://docs.google.com/spreadsheets/d/1XL5vhW3sbDhbH9Cz0tuDiY8C3ctxq1tqvaCgkFb8cCA/edit#gid=346597447"",""อำนาจเจริญ!J563"")"),0)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IFERROR(__xludf.DUMMYFUNCTION("IMPORTRANGE(""https://docs.google.com/spreadsheets/d/1XL5vhW3sbDhbH9Cz0tuDiY8C3ctxq1tqvaCgkFb8cCA/edit#gid=346597447"",""อำนาจเจริญ!L563"")"),0)</f>
        <v>0</v>
      </c>
      <c r="M668" s="570"/>
      <c r="N668" s="587">
        <f ca="1">IFERROR(__xludf.DUMMYFUNCTION("IMPORTRANGE(""https://docs.google.com/spreadsheets/d/1XL5vhW3sbDhbH9Cz0tuDiY8C3ctxq1tqvaCgkFb8cCA/edit#gid=346597447"",""อำนาจเจริญ!M563"")"),0)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IFERROR(__xludf.DUMMYFUNCTION("IMPORTRANGE(""https://docs.google.com/spreadsheets/d/1XL5vhW3sbDhbH9Cz0tuDiY8C3ctxq1tqvaCgkFb8cCA/edit#gid=346597447"",""อำนาจเจริญ!J564"")"),0)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IFERROR(__xludf.DUMMYFUNCTION("IMPORTRANGE(""https://docs.google.com/spreadsheets/d/1XL5vhW3sbDhbH9Cz0tuDiY8C3ctxq1tqvaCgkFb8cCA/edit#gid=346597447"",""อำนาจเจริญ!J565"")"),0)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IFERROR(__xludf.DUMMYFUNCTION("IMPORTRANGE(""https://docs.google.com/spreadsheets/d/1XL5vhW3sbDhbH9Cz0tuDiY8C3ctxq1tqvaCgkFb8cCA/edit#gid=346597447"",""อำนาจเจริญ!I566"")"),0)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IFERROR(__xludf.DUMMYFUNCTION("IMPORTRANGE(""https://docs.google.com/spreadsheets/d/1XL5vhW3sbDhbH9Cz0tuDiY8C3ctxq1tqvaCgkFb8cCA/edit#gid=346597447"",""อำนาจเจริญ!L566"")"),0)</f>
        <v>0</v>
      </c>
      <c r="M671" s="570"/>
      <c r="N671" s="587">
        <f ca="1">IFERROR(__xludf.DUMMYFUNCTION("IMPORTRANGE(""https://docs.google.com/spreadsheets/d/1XL5vhW3sbDhbH9Cz0tuDiY8C3ctxq1tqvaCgkFb8cCA/edit#gid=346597447"",""อำนาจเจริญ!M566"")"),0)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IFERROR(__xludf.DUMMYFUNCTION("IMPORTRANGE(""https://docs.google.com/spreadsheets/d/1XL5vhW3sbDhbH9Cz0tuDiY8C3ctxq1tqvaCgkFb8cCA/edit#gid=346597447"",""อำนาจเจริญ!J567"")"),0)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IFERROR(__xludf.DUMMYFUNCTION("IMPORTRANGE(""https://docs.google.com/spreadsheets/d/1XL5vhW3sbDhbH9Cz0tuDiY8C3ctxq1tqvaCgkFb8cCA/edit#gid=346597447"",""อำนาจเจริญ!J568"")"),0)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IFERROR(__xludf.DUMMYFUNCTION("IMPORTRANGE(""https://docs.google.com/spreadsheets/d/1XL5vhW3sbDhbH9Cz0tuDiY8C3ctxq1tqvaCgkFb8cCA/edit#gid=346597447"",""อำนาจเจริญ!J569"")"),0)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IFERROR(__xludf.DUMMYFUNCTION("IMPORTRANGE(""https://docs.google.com/spreadsheets/d/1XL5vhW3sbDhbH9Cz0tuDiY8C3ctxq1tqvaCgkFb8cCA/edit#gid=346597447"",""อำนาจเจริญ!J570"")"),0)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IFERROR(__xludf.DUMMYFUNCTION("IMPORTRANGE(""https://docs.google.com/spreadsheets/d/1XL5vhW3sbDhbH9Cz0tuDiY8C3ctxq1tqvaCgkFb8cCA/edit#gid=346597447"",""อำนาจเจริญ!J571"")"),0)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IFERROR(__xludf.DUMMYFUNCTION("IMPORTRANGE(""https://docs.google.com/spreadsheets/d/1XL5vhW3sbDhbH9Cz0tuDiY8C3ctxq1tqvaCgkFb8cCA/edit#gid=346597447"",""อำนาจเจริญ!J572"")"),0)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72" sqref="G17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4.7109375" customWidth="1"/>
    <col min="8" max="8" width="10.85546875" customWidth="1"/>
    <col min="9" max="9" width="16.5703125" bestFit="1" customWidth="1"/>
    <col min="10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260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3" t="s">
        <v>15</v>
      </c>
      <c r="B7" s="648"/>
      <c r="C7" s="648"/>
      <c r="D7" s="648"/>
      <c r="E7" s="648"/>
      <c r="F7" s="648"/>
      <c r="G7" s="64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5958055</v>
      </c>
      <c r="M8" s="23">
        <f t="shared" ca="1" si="0"/>
        <v>2665312</v>
      </c>
      <c r="N8" s="23">
        <f t="shared" ca="1" si="0"/>
        <v>2907127.2300000004</v>
      </c>
      <c r="O8" s="22">
        <f t="shared" ref="O8:O16" ca="1" si="1">IF(L8&gt;0,N8*100/L8,0)</f>
        <v>48.79322580942943</v>
      </c>
      <c r="P8" s="22">
        <f t="shared" ref="P8:P16" ca="1" si="2">IF(M8&gt;0,N8*100/M8,0)</f>
        <v>109.07268004646363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5958055</v>
      </c>
      <c r="M10" s="30">
        <f t="shared" ca="1" si="4"/>
        <v>2665312</v>
      </c>
      <c r="N10" s="30">
        <f t="shared" ca="1" si="4"/>
        <v>2907127.2300000004</v>
      </c>
      <c r="O10" s="29">
        <f t="shared" ca="1" si="1"/>
        <v>48.79322580942943</v>
      </c>
      <c r="P10" s="29">
        <f t="shared" ca="1" si="2"/>
        <v>109.07268004646363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5920255</v>
      </c>
      <c r="M12" s="38">
        <f t="shared" ca="1" si="6"/>
        <v>2627512</v>
      </c>
      <c r="N12" s="38">
        <f t="shared" ca="1" si="6"/>
        <v>2869327.2300000004</v>
      </c>
      <c r="O12" s="38">
        <f t="shared" ca="1" si="1"/>
        <v>48.46627771945635</v>
      </c>
      <c r="P12" s="38">
        <f t="shared" ca="1" si="2"/>
        <v>109.20320173609105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3687255</v>
      </c>
      <c r="M14" s="38">
        <f t="shared" si="8"/>
        <v>0</v>
      </c>
      <c r="N14" s="38">
        <f t="shared" ca="1" si="8"/>
        <v>710415</v>
      </c>
      <c r="O14" s="38">
        <f t="shared" ca="1" si="1"/>
        <v>19.266771622792565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3" t="s">
        <v>24</v>
      </c>
      <c r="B17" s="648"/>
      <c r="C17" s="648"/>
      <c r="D17" s="648"/>
      <c r="E17" s="648"/>
      <c r="F17" s="648"/>
      <c r="G17" s="64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3461615</v>
      </c>
      <c r="M18" s="23">
        <f t="shared" ca="1" si="11"/>
        <v>2665312</v>
      </c>
      <c r="N18" s="23">
        <f t="shared" ca="1" si="11"/>
        <v>2196712.2300000004</v>
      </c>
      <c r="O18" s="22">
        <f t="shared" ref="O18:O20" ca="1" si="12">IF(L18&gt;0,N18*100/L18,0)</f>
        <v>63.459172380521828</v>
      </c>
      <c r="P18" s="22">
        <f t="shared" ref="P18:P26" ca="1" si="13">IF(M18&gt;0,N18*100/M18,0)</f>
        <v>82.418577262249244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3461615</v>
      </c>
      <c r="M20" s="30">
        <f t="shared" ca="1" si="15"/>
        <v>2665312</v>
      </c>
      <c r="N20" s="30">
        <f t="shared" ca="1" si="15"/>
        <v>2196712.2300000004</v>
      </c>
      <c r="O20" s="29">
        <f t="shared" ca="1" si="12"/>
        <v>63.459172380521828</v>
      </c>
      <c r="P20" s="29">
        <f t="shared" ca="1" si="13"/>
        <v>82.418577262249244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3423815</v>
      </c>
      <c r="M22" s="41">
        <f t="shared" ca="1" si="18"/>
        <v>2627512</v>
      </c>
      <c r="N22" s="38">
        <f t="shared" ca="1" si="18"/>
        <v>2158912.2300000004</v>
      </c>
      <c r="O22" s="38">
        <f t="shared" ca="1" si="17"/>
        <v>63.055750091637563</v>
      </c>
      <c r="P22" s="38">
        <f t="shared" ca="1" si="13"/>
        <v>82.165646817217223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1190815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3" t="s">
        <v>25</v>
      </c>
      <c r="B27" s="648"/>
      <c r="C27" s="648"/>
      <c r="D27" s="648"/>
      <c r="E27" s="648"/>
      <c r="F27" s="648"/>
      <c r="G27" s="64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2496440</v>
      </c>
      <c r="M28" s="23">
        <f t="shared" si="23"/>
        <v>0</v>
      </c>
      <c r="N28" s="23">
        <f t="shared" ca="1" si="23"/>
        <v>710415</v>
      </c>
      <c r="O28" s="22">
        <f t="shared" ref="O28:O30" ca="1" si="24">IF(L28&gt;0,N28*100/L28,0)</f>
        <v>28.457122943070932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2496440</v>
      </c>
      <c r="M30" s="30">
        <f t="shared" si="27"/>
        <v>0</v>
      </c>
      <c r="N30" s="30">
        <f t="shared" ca="1" si="27"/>
        <v>710415</v>
      </c>
      <c r="O30" s="29">
        <f t="shared" ca="1" si="24"/>
        <v>28.457122943070932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2496440</v>
      </c>
      <c r="M32" s="38">
        <f t="shared" si="30"/>
        <v>0</v>
      </c>
      <c r="N32" s="38">
        <f t="shared" ca="1" si="30"/>
        <v>710415</v>
      </c>
      <c r="O32" s="38">
        <f t="shared" ca="1" si="29"/>
        <v>28.457122943070932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2496440</v>
      </c>
      <c r="M34" s="38">
        <f t="shared" si="32"/>
        <v>0</v>
      </c>
      <c r="N34" s="38">
        <f t="shared" ca="1" si="32"/>
        <v>710415</v>
      </c>
      <c r="O34" s="38">
        <f t="shared" ca="1" si="29"/>
        <v>28.457122943070932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3461615</v>
      </c>
      <c r="M37" s="54">
        <f t="shared" ca="1" si="33"/>
        <v>2665312</v>
      </c>
      <c r="N37" s="54">
        <f t="shared" ca="1" si="33"/>
        <v>2196712.2300000004</v>
      </c>
      <c r="O37" s="55">
        <f t="shared" ca="1" si="29"/>
        <v>63.459172380521828</v>
      </c>
      <c r="P37" s="55">
        <f t="shared" ca="1" si="25"/>
        <v>82.418577262249244</v>
      </c>
    </row>
    <row r="38" spans="1:16" ht="21.75" customHeight="1" x14ac:dyDescent="0.3">
      <c r="A38" s="647" t="s">
        <v>27</v>
      </c>
      <c r="B38" s="648"/>
      <c r="C38" s="648"/>
      <c r="D38" s="648"/>
      <c r="E38" s="648"/>
      <c r="F38" s="648"/>
      <c r="G38" s="64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0" t="s">
        <v>28</v>
      </c>
      <c r="C39" s="641"/>
      <c r="D39" s="641"/>
      <c r="E39" s="641"/>
      <c r="F39" s="641"/>
      <c r="G39" s="64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757600</v>
      </c>
      <c r="M41" s="78">
        <f t="shared" ca="1" si="34"/>
        <v>568200</v>
      </c>
      <c r="N41" s="78">
        <f t="shared" ca="1" si="34"/>
        <v>534403.48</v>
      </c>
      <c r="O41" s="77">
        <f t="shared" ref="O41:O43" ca="1" si="35">IF(L41&gt;0,N41*100/L41,0)</f>
        <v>70.539002111932419</v>
      </c>
      <c r="P41" s="77">
        <f t="shared" ref="P41:P43" ca="1" si="36">IF(M41&gt;0,N41*100/M41,0)</f>
        <v>94.052002815909887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757600</v>
      </c>
      <c r="M43" s="78">
        <f t="shared" ca="1" si="38"/>
        <v>568200</v>
      </c>
      <c r="N43" s="78">
        <f t="shared" ca="1" si="38"/>
        <v>534403.48</v>
      </c>
      <c r="O43" s="77">
        <f t="shared" ca="1" si="35"/>
        <v>70.539002111932419</v>
      </c>
      <c r="P43" s="77">
        <f t="shared" ca="1" si="36"/>
        <v>94.052002815909887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757600</v>
      </c>
      <c r="M45" s="49">
        <f ca="1">IFERROR(__xludf.DUMMYFUNCTION("IMPORTRANGE(""https://docs.google.com/spreadsheets/d/1Yj_ptqi66GCucihVvJfMjLAmec39IyEx_6qawtMGysU/edit?usp=sharing"",""สบก!Q38"")"),568200)</f>
        <v>568200</v>
      </c>
      <c r="N45" s="49">
        <f ca="1">IFERROR(__xludf.DUMMYFUNCTION("IMPORTRANGE(""https://docs.google.com/spreadsheets/d/1Yj_ptqi66GCucihVvJfMjLAmec39IyEx_6qawtMGysU/edit?usp=sharing"",""สบก!R38"")"),534403.48)</f>
        <v>534403.48</v>
      </c>
      <c r="O45" s="38">
        <f ca="1">IF(L45&gt;0,N45*100/L45,0)</f>
        <v>70.539002111932419</v>
      </c>
      <c r="P45" s="38">
        <f ca="1">IF(M45&gt;0,N45*100/M45,0)</f>
        <v>94.052002815909887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IFERROR(__xludf.DUMMYFUNCTION("IMPORTRANGE(""https://docs.google.com/spreadsheets/d/1Yj_ptqi66GCucihVvJfMjLAmec39IyEx_6qawtMGysU/edit?usp=sharing"",""สบก!M38"")"),757600)</f>
        <v>757600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472002</v>
      </c>
      <c r="N53" s="121">
        <f t="shared" ca="1" si="39"/>
        <v>465465</v>
      </c>
      <c r="O53" s="120">
        <f t="shared" ref="O53:O55" ca="1" si="40">IF(L53&gt;0,N53*100/L53,0)</f>
        <v>77.577500000000001</v>
      </c>
      <c r="P53" s="120">
        <f t="shared" ref="P53:P55" ca="1" si="41">IF(M53&gt;0,N53*100/M53,0)</f>
        <v>98.615048241321006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472002</v>
      </c>
      <c r="N55" s="121">
        <f t="shared" ca="1" si="43"/>
        <v>465465</v>
      </c>
      <c r="O55" s="120">
        <f t="shared" ca="1" si="40"/>
        <v>77.577500000000001</v>
      </c>
      <c r="P55" s="120">
        <f t="shared" ca="1" si="41"/>
        <v>98.615048241321006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IFERROR(__xludf.DUMMYFUNCTION("IMPORTRANGE(""https://docs.google.com/spreadsheets/d/1Yj_ptqi66GCucihVvJfMjLAmec39IyEx_6qawtMGysU/edit?usp=sharing"",""สบก!Z38"")"),472002)</f>
        <v>472002</v>
      </c>
      <c r="N57" s="49">
        <f ca="1">IFERROR(__xludf.DUMMYFUNCTION("IMPORTRANGE(""https://docs.google.com/spreadsheets/d/1Yj_ptqi66GCucihVvJfMjLAmec39IyEx_6qawtMGysU/edit?usp=sharing"",""สบก!AA38"")"),465465)</f>
        <v>465465</v>
      </c>
      <c r="O57" s="38">
        <f ca="1">IF(L57&gt;0,N57*100/L57,0)</f>
        <v>77.577500000000001</v>
      </c>
      <c r="P57" s="38">
        <f ca="1">IF(M57&gt;0,N57*100/M57,0)</f>
        <v>98.615048241321006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IFERROR(__xludf.DUMMYFUNCTION("IMPORTRANGE(""https://docs.google.com/spreadsheets/d/1XL5vhW3sbDhbH9Cz0tuDiY8C3ctxq1tqvaCgkFb8cCA/edit?usp=sharing"",""กาฬสินธุ์!J50"")"),0)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49965</v>
      </c>
      <c r="O118" s="151">
        <f t="shared" ref="O118:O120" ca="1" si="59">IF(L118&gt;0,N118*100/L118,0)</f>
        <v>60.607714701601168</v>
      </c>
      <c r="P118" s="151">
        <f t="shared" ref="P118:P120" ca="1" si="60">IF(M118&gt;0,N118*100/M118,0)</f>
        <v>60.607714701601168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49965</v>
      </c>
      <c r="O120" s="156">
        <f t="shared" ca="1" si="59"/>
        <v>60.607714701601168</v>
      </c>
      <c r="P120" s="156">
        <f t="shared" ca="1" si="60"/>
        <v>60.607714701601168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IFERROR(__xludf.DUMMYFUNCTION("IMPORTRANGE(""https://docs.google.com/spreadsheets/d/1Yj_ptqi66GCucihVvJfMjLAmec39IyEx_6qawtMGysU/edit?usp=sharing"",""สบก!BA38"")"),82440)</f>
        <v>82440</v>
      </c>
      <c r="N122" s="169">
        <f ca="1">IFERROR(__xludf.DUMMYFUNCTION("IMPORTRANGE(""https://docs.google.com/spreadsheets/d/1Yj_ptqi66GCucihVvJfMjLAmec39IyEx_6qawtMGysU/edit?usp=sharing"",""สบก!BB38"")"),49965)</f>
        <v>49965</v>
      </c>
      <c r="O122" s="169">
        <f ca="1">IF(L122&gt;0,N122*100/L122,0)</f>
        <v>60.607714701601168</v>
      </c>
      <c r="P122" s="169">
        <f ca="1">IF(M122&gt;0,N122*100/M122,0)</f>
        <v>60.607714701601168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IFERROR(__xludf.DUMMYFUNCTION("IMPORTRANGE(""https://docs.google.com/spreadsheets/d/1Yj_ptqi66GCucihVvJfMjLAmec39IyEx_6qawtMGysU/edit?usp=sharing"",""สบก!AX38"")"),82440)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IFERROR(__xludf.DUMMYFUNCTION("IMPORTRANGE(""https://docs.google.com/spreadsheets/d/1XL5vhW3sbDhbH9Cz0tuDiY8C3ctxq1tqvaCgkFb8cCA/edit?usp=sharing"",""กาฬสินธุ์!J65"")"),0)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IFERROR(__xludf.DUMMYFUNCTION("IMPORTRANGE(""https://docs.google.com/spreadsheets/d/1XL5vhW3sbDhbH9Cz0tuDiY8C3ctxq1tqvaCgkFb8cCA/edit?usp=sharing"",""กาฬสินธุ์!I68"")"),0)</f>
        <v>0</v>
      </c>
      <c r="J138" s="267">
        <f ca="1">IFERROR(__xludf.DUMMYFUNCTION("IMPORTRANGE(""https://docs.google.com/spreadsheets/d/1XL5vhW3sbDhbH9Cz0tuDiY8C3ctxq1tqvaCgkFb8cCA/edit?usp=sharing"",""กาฬสินธุ์!J68"")"),0)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55625</v>
      </c>
      <c r="N140" s="152">
        <f t="shared" ca="1" si="64"/>
        <v>46555</v>
      </c>
      <c r="O140" s="151">
        <f t="shared" ref="O140:O142" ca="1" si="65">IF(L140&gt;0,N140*100/L140,0)</f>
        <v>55.754491017964071</v>
      </c>
      <c r="P140" s="151">
        <f t="shared" ref="P140:P142" ca="1" si="66">IF(M140&gt;0,N140*100/M140,0)</f>
        <v>83.694382022471913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83500</v>
      </c>
      <c r="M142" s="157">
        <f t="shared" ca="1" si="68"/>
        <v>55625</v>
      </c>
      <c r="N142" s="157">
        <f t="shared" ca="1" si="68"/>
        <v>46555</v>
      </c>
      <c r="O142" s="156">
        <f t="shared" ca="1" si="65"/>
        <v>55.754491017964071</v>
      </c>
      <c r="P142" s="156">
        <f t="shared" ca="1" si="66"/>
        <v>83.694382022471913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83500</v>
      </c>
      <c r="M144" s="168">
        <f ca="1">IFERROR(__xludf.DUMMYFUNCTION("IMPORTRANGE(""https://docs.google.com/spreadsheets/d/1Yj_ptqi66GCucihVvJfMjLAmec39IyEx_6qawtMGysU/edit?usp=sharing"",""สบก!BJ38"")"),55625)</f>
        <v>55625</v>
      </c>
      <c r="N144" s="169">
        <f ca="1">IFERROR(__xludf.DUMMYFUNCTION("IMPORTRANGE(""https://docs.google.com/spreadsheets/d/1Yj_ptqi66GCucihVvJfMjLAmec39IyEx_6qawtMGysU/edit?usp=sharing"",""สบก!BK38"")"),46555)</f>
        <v>46555</v>
      </c>
      <c r="O144" s="169">
        <f ca="1">IF(L144&gt;0,N144*100/L144,0)</f>
        <v>55.754491017964071</v>
      </c>
      <c r="P144" s="169">
        <f ca="1">IF(M144&gt;0,N144*100/M144,0)</f>
        <v>83.694382022471913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IFERROR(__xludf.DUMMYFUNCTION("IMPORTRANGE(""https://docs.google.com/spreadsheets/d/1Yj_ptqi66GCucihVvJfMjLAmec39IyEx_6qawtMGysU/edit?usp=sharing"",""สบก!BG38"")"),83500)</f>
        <v>83500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IFERROR(__xludf.DUMMYFUNCTION("IMPORTRANGE(""https://docs.google.com/spreadsheets/d/1XL5vhW3sbDhbH9Cz0tuDiY8C3ctxq1tqvaCgkFb8cCA/edit?usp=sharing"",""กาฬสินธุ์!I74"")"),4)</f>
        <v>4</v>
      </c>
      <c r="J149" s="275">
        <f ca="1">IFERROR(__xludf.DUMMYFUNCTION("IMPORTRANGE(""https://docs.google.com/spreadsheets/d/1XL5vhW3sbDhbH9Cz0tuDiY8C3ctxq1tqvaCgkFb8cCA/edit?usp=sharing"",""กาฬสินธุ์!J74"")"),2)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IFERROR(__xludf.DUMMYFUNCTION("IMPORTRANGE(""https://docs.google.com/spreadsheets/d/1XL5vhW3sbDhbH9Cz0tuDiY8C3ctxq1tqvaCgkFb8cCA/edit?usp=sharing"",""กาฬสินธุ์!J88"")"),0)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IFERROR(__xludf.DUMMYFUNCTION("IMPORTRANGE(""https://docs.google.com/spreadsheets/d/1XL5vhW3sbDhbH9Cz0tuDiY8C3ctxq1tqvaCgkFb8cCA/edit?usp=sharing"",""กาฬสินธุ์!I89"")"),3)</f>
        <v>3</v>
      </c>
      <c r="J164" s="284">
        <f ca="1">IFERROR(__xludf.DUMMYFUNCTION("IMPORTRANGE(""https://docs.google.com/spreadsheets/d/1XL5vhW3sbDhbH9Cz0tuDiY8C3ctxq1tqvaCgkFb8cCA/edit?usp=sharing"",""กาฬสินธุ์!J89"")"),3)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IFERROR(__xludf.DUMMYFUNCTION("IMPORTRANGE(""https://docs.google.com/spreadsheets/d/1XL5vhW3sbDhbH9Cz0tuDiY8C3ctxq1tqvaCgkFb8cCA/edit?usp=sharing"",""กาฬสินธุ์!J100"")"),0)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IFERROR(__xludf.DUMMYFUNCTION("IMPORTRANGE(""https://docs.google.com/spreadsheets/d/1XL5vhW3sbDhbH9Cz0tuDiY8C3ctxq1tqvaCgkFb8cCA/edit?usp=sharing"",""กาฬสินธุ์!I101"")"),0)</f>
        <v>0</v>
      </c>
      <c r="J176" s="284">
        <f ca="1">IFERROR(__xludf.DUMMYFUNCTION("IMPORTRANGE(""https://docs.google.com/spreadsheets/d/1XL5vhW3sbDhbH9Cz0tuDiY8C3ctxq1tqvaCgkFb8cCA/edit?usp=sharing"",""กาฬสินธุ์!J101"")"),0)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IFERROR(__xludf.DUMMYFUNCTION("IMPORTRANGE(""https://docs.google.com/spreadsheets/d/1XL5vhW3sbDhbH9Cz0tuDiY8C3ctxq1tqvaCgkFb8cCA/edit?usp=sharing"",""กาฬสินธุ์!J113"")"),0)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IFERROR(__xludf.DUMMYFUNCTION("IMPORTRANGE(""https://docs.google.com/spreadsheets/d/1XL5vhW3sbDhbH9Cz0tuDiY8C3ctxq1tqvaCgkFb8cCA/edit?usp=sharing"",""กาฬสินธุ์!I114"")"),100000)</f>
        <v>100000</v>
      </c>
      <c r="J189" s="284">
        <f ca="1">IFERROR(__xludf.DUMMYFUNCTION("IMPORTRANGE(""https://docs.google.com/spreadsheets/d/1XL5vhW3sbDhbH9Cz0tuDiY8C3ctxq1tqvaCgkFb8cCA/edit?usp=sharing"",""กาฬสินธุ์!J114"")"),0)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IFERROR(__xludf.DUMMYFUNCTION("IMPORTRANGE(""https://docs.google.com/spreadsheets/d/1XL5vhW3sbDhbH9Cz0tuDiY8C3ctxq1tqvaCgkFb8cCA/edit?usp=sharing"",""กาฬสินธุ์!J128"")"),0)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IFERROR(__xludf.DUMMYFUNCTION("IMPORTRANGE(""https://docs.google.com/spreadsheets/d/1XL5vhW3sbDhbH9Cz0tuDiY8C3ctxq1tqvaCgkFb8cCA/edit?usp=sharing"",""กาฬสินธุ์!I129"")"),0)</f>
        <v>0</v>
      </c>
      <c r="J204" s="284">
        <f ca="1">IFERROR(__xludf.DUMMYFUNCTION("IMPORTRANGE(""https://docs.google.com/spreadsheets/d/1XL5vhW3sbDhbH9Cz0tuDiY8C3ctxq1tqvaCgkFb8cCA/edit?usp=sharing"",""กาฬสินธุ์!J129"")"),0)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IFERROR(__xludf.DUMMYFUNCTION("IMPORTRANGE(""https://docs.google.com/spreadsheets/d/1XL5vhW3sbDhbH9Cz0tuDiY8C3ctxq1tqvaCgkFb8cCA/edit?usp=sharing"",""กาฬสินธุ์!J143"")"),0)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IFERROR(__xludf.DUMMYFUNCTION("IMPORTRANGE(""https://docs.google.com/spreadsheets/d/1XL5vhW3sbDhbH9Cz0tuDiY8C3ctxq1tqvaCgkFb8cCA/edit?usp=sharing"",""กาฬสินธุ์!I144"")"),15)</f>
        <v>15</v>
      </c>
      <c r="J219" s="267">
        <f ca="1">IFERROR(__xludf.DUMMYFUNCTION("IMPORTRANGE(""https://docs.google.com/spreadsheets/d/1XL5vhW3sbDhbH9Cz0tuDiY8C3ctxq1tqvaCgkFb8cCA/edit?usp=sharing"",""กาฬสินธุ์!J144"")"),15)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IFERROR(__xludf.DUMMYFUNCTION("IMPORTRANGE(""https://docs.google.com/spreadsheets/d/1XL5vhW3sbDhbH9Cz0tuDiY8C3ctxq1tqvaCgkFb8cCA/edit?usp=sharing"",""กาฬสินธุ์!I149"")"),15)</f>
        <v>15</v>
      </c>
      <c r="J229" s="267">
        <f ca="1">IFERROR(__xludf.DUMMYFUNCTION("IMPORTRANGE(""https://docs.google.com/spreadsheets/d/1XL5vhW3sbDhbH9Cz0tuDiY8C3ctxq1tqvaCgkFb8cCA/edit?usp=sharing"",""กาฬสินธุ์!J149"")"),15)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IFERROR(__xludf.DUMMYFUNCTION("IMPORTRANGE(""https://docs.google.com/spreadsheets/d/1XL5vhW3sbDhbH9Cz0tuDiY8C3ctxq1tqvaCgkFb8cCA/edit?usp=sharing"",""กาฬสินธุ์!J157"")"),0)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IFERROR(__xludf.DUMMYFUNCTION("IMPORTRANGE(""https://docs.google.com/spreadsheets/d/1XL5vhW3sbDhbH9Cz0tuDiY8C3ctxq1tqvaCgkFb8cCA/edit?usp=sharing"",""กาฬสินธุ์!I158"")"),0)</f>
        <v>0</v>
      </c>
      <c r="J238" s="267">
        <f ca="1">IFERROR(__xludf.DUMMYFUNCTION("IMPORTRANGE(""https://docs.google.com/spreadsheets/d/1XL5vhW3sbDhbH9Cz0tuDiY8C3ctxq1tqvaCgkFb8cCA/edit?usp=sharing"",""กาฬสินธุ์!J158"")"),0)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IFERROR(__xludf.DUMMYFUNCTION("IMPORTRANGE(""https://docs.google.com/spreadsheets/d/1XL5vhW3sbDhbH9Cz0tuDiY8C3ctxq1tqvaCgkFb8cCA/edit?usp=sharing"",""กาฬสินธุ์!J166"")"),0)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IFERROR(__xludf.DUMMYFUNCTION("IMPORTRANGE(""https://docs.google.com/spreadsheets/d/1XL5vhW3sbDhbH9Cz0tuDiY8C3ctxq1tqvaCgkFb8cCA/edit?usp=sharing"",""กาฬสินธุ์!I169"")"),20)</f>
        <v>20</v>
      </c>
      <c r="J249" s="316">
        <f ca="1">IFERROR(__xludf.DUMMYFUNCTION("IMPORTRANGE(""https://docs.google.com/spreadsheets/d/1XL5vhW3sbDhbH9Cz0tuDiY8C3ctxq1tqvaCgkFb8cCA/edit?usp=sharing"",""กาฬสินธุ์!J169"")"),20)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240000</v>
      </c>
      <c r="N250" s="152">
        <f t="shared" ca="1" si="77"/>
        <v>164560.1</v>
      </c>
      <c r="O250" s="151">
        <f t="shared" ref="O250:O252" ca="1" si="78">IF(L250&gt;0,N250*100/L250,0)</f>
        <v>49.063834227787716</v>
      </c>
      <c r="P250" s="151">
        <f t="shared" ref="P250:P252" ca="1" si="79">IF(M250&gt;0,N250*100/M250,0)</f>
        <v>68.566708333333338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240000</v>
      </c>
      <c r="N252" s="157">
        <f t="shared" ca="1" si="81"/>
        <v>164560.1</v>
      </c>
      <c r="O252" s="156">
        <f t="shared" ca="1" si="78"/>
        <v>49.063834227787716</v>
      </c>
      <c r="P252" s="156">
        <f t="shared" ca="1" si="79"/>
        <v>68.566708333333338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IFERROR(__xludf.DUMMYFUNCTION("IMPORTRANGE(""https://docs.google.com/spreadsheets/d/1Yj_ptqi66GCucihVvJfMjLAmec39IyEx_6qawtMGysU/edit?usp=sharing"",""สบก!CB38"")"),240000)</f>
        <v>240000</v>
      </c>
      <c r="N254" s="169">
        <f ca="1">IFERROR(__xludf.DUMMYFUNCTION("IMPORTRANGE(""https://docs.google.com/spreadsheets/d/1Yj_ptqi66GCucihVvJfMjLAmec39IyEx_6qawtMGysU/edit?usp=sharing"",""สบก!CC38"")"),164560.1)</f>
        <v>164560.1</v>
      </c>
      <c r="O254" s="169">
        <f ca="1">IF(L254&gt;0,N254*100/L254,0)</f>
        <v>49.063834227787716</v>
      </c>
      <c r="P254" s="169">
        <f ca="1">IF(M254&gt;0,N254*100/M254,0)</f>
        <v>68.566708333333338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IFERROR(__xludf.DUMMYFUNCTION("IMPORTRANGE(""https://docs.google.com/spreadsheets/d/1XL5vhW3sbDhbH9Cz0tuDiY8C3ctxq1tqvaCgkFb8cCA/edit?usp=sharing"",""กาฬสินธุ์!J184"")"),0)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IFERROR(__xludf.DUMMYFUNCTION("IMPORTRANGE(""https://docs.google.com/spreadsheets/d/1XL5vhW3sbDhbH9Cz0tuDiY8C3ctxq1tqvaCgkFb8cCA/edit?usp=sharing"",""กาฬสินธุ์!I185"")"),20)</f>
        <v>20</v>
      </c>
      <c r="J270" s="316">
        <f ca="1">IFERROR(__xludf.DUMMYFUNCTION("IMPORTRANGE(""https://docs.google.com/spreadsheets/d/1XL5vhW3sbDhbH9Cz0tuDiY8C3ctxq1tqvaCgkFb8cCA/edit?usp=sharing"",""กาฬสินธุ์!J185"")"),20)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100213.61</v>
      </c>
      <c r="O271" s="151">
        <f t="shared" ref="O271:O273" ca="1" si="84">IF(L271&gt;0,N271*100/L271,0)</f>
        <v>54.582576252723314</v>
      </c>
      <c r="P271" s="151">
        <f t="shared" ref="P271:P273" ca="1" si="85">IF(M271&gt;0,N271*100/M271,0)</f>
        <v>62.013372524752477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100213.61</v>
      </c>
      <c r="O273" s="156">
        <f t="shared" ca="1" si="84"/>
        <v>54.582576252723314</v>
      </c>
      <c r="P273" s="156">
        <f t="shared" ca="1" si="85"/>
        <v>62.013372524752477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IFERROR(__xludf.DUMMYFUNCTION("IMPORTRANGE(""https://docs.google.com/spreadsheets/d/1Yj_ptqi66GCucihVvJfMjLAmec39IyEx_6qawtMGysU/edit?usp=sharing"",""สบก!CK38"")"),161600)</f>
        <v>161600</v>
      </c>
      <c r="N275" s="169">
        <f ca="1">IFERROR(__xludf.DUMMYFUNCTION("IMPORTRANGE(""https://docs.google.com/spreadsheets/d/1Yj_ptqi66GCucihVvJfMjLAmec39IyEx_6qawtMGysU/edit?usp=sharing"",""สบก!CL38"")"),100213.61)</f>
        <v>100213.61</v>
      </c>
      <c r="O275" s="169">
        <f ca="1">IF(L275&gt;0,N275*100/L275,0)</f>
        <v>54.582576252723314</v>
      </c>
      <c r="P275" s="169">
        <f ca="1">IF(M275&gt;0,N275*100/M275,0)</f>
        <v>62.013372524752477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IFERROR(__xludf.DUMMYFUNCTION("IMPORTRANGE(""https://docs.google.com/spreadsheets/d/1XL5vhW3sbDhbH9Cz0tuDiY8C3ctxq1tqvaCgkFb8cCA/edit?usp=sharing"",""กาฬสินธุ์!J197"")"),0)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IFERROR(__xludf.DUMMYFUNCTION("IMPORTRANGE(""https://docs.google.com/spreadsheets/d/1XL5vhW3sbDhbH9Cz0tuDiY8C3ctxq1tqvaCgkFb8cCA/edit?usp=sharing"",""กาฬสินธุ์!I199"")"),15)</f>
        <v>15</v>
      </c>
      <c r="J289" s="316">
        <f ca="1">IFERROR(__xludf.DUMMYFUNCTION("IMPORTRANGE(""https://docs.google.com/spreadsheets/d/1XL5vhW3sbDhbH9Cz0tuDiY8C3ctxq1tqvaCgkFb8cCA/edit?usp=sharing"",""กาฬสินธุ์!J199"")"),15)</f>
        <v>15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72260</v>
      </c>
      <c r="M290" s="152">
        <f t="shared" ca="1" si="88"/>
        <v>72260</v>
      </c>
      <c r="N290" s="152">
        <f t="shared" ca="1" si="88"/>
        <v>15310</v>
      </c>
      <c r="O290" s="151">
        <f t="shared" ref="O290:O292" ca="1" si="89">IF(L290&gt;0,N290*100/L290,0)</f>
        <v>21.187378909493496</v>
      </c>
      <c r="P290" s="151">
        <f t="shared" ref="P290:P292" ca="1" si="90">IF(M290&gt;0,N290*100/M290,0)</f>
        <v>21.187378909493496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72260</v>
      </c>
      <c r="M292" s="157">
        <f t="shared" ca="1" si="92"/>
        <v>72260</v>
      </c>
      <c r="N292" s="157">
        <f t="shared" ca="1" si="92"/>
        <v>15310</v>
      </c>
      <c r="O292" s="156">
        <f t="shared" ca="1" si="89"/>
        <v>21.187378909493496</v>
      </c>
      <c r="P292" s="156">
        <f t="shared" ca="1" si="90"/>
        <v>21.187378909493496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72260</v>
      </c>
      <c r="M294" s="168">
        <f ca="1">IFERROR(__xludf.DUMMYFUNCTION("IMPORTRANGE(""https://docs.google.com/spreadsheets/d/1Yj_ptqi66GCucihVvJfMjLAmec39IyEx_6qawtMGysU/edit?usp=sharing"",""สบก!CT38"")"),72260)</f>
        <v>72260</v>
      </c>
      <c r="N294" s="169">
        <f ca="1">IFERROR(__xludf.DUMMYFUNCTION("IMPORTRANGE(""https://docs.google.com/spreadsheets/d/1Yj_ptqi66GCucihVvJfMjLAmec39IyEx_6qawtMGysU/edit?usp=sharing"",""สบก!CU38"")"),15310)</f>
        <v>15310</v>
      </c>
      <c r="O294" s="169">
        <f ca="1">IF(L294&gt;0,N294*100/L294,0)</f>
        <v>21.187378909493496</v>
      </c>
      <c r="P294" s="169">
        <f ca="1">IF(M294&gt;0,N294*100/M294,0)</f>
        <v>21.187378909493496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IFERROR(__xludf.DUMMYFUNCTION("IMPORTRANGE(""https://docs.google.com/spreadsheets/d/1Yj_ptqi66GCucihVvJfMjLAmec39IyEx_6qawtMGysU/edit?usp=sharing"",""สบก!CQ38"")"),72260)</f>
        <v>72260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IFERROR(__xludf.DUMMYFUNCTION("IMPORTRANGE(""https://docs.google.com/spreadsheets/d/1XL5vhW3sbDhbH9Cz0tuDiY8C3ctxq1tqvaCgkFb8cCA/edit?usp=sharing"",""กาฬสินธุ์!J209"")"),15)</f>
        <v>15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IFERROR(__xludf.DUMMYFUNCTION("IMPORTRANGE(""https://docs.google.com/spreadsheets/d/1XL5vhW3sbDhbH9Cz0tuDiY8C3ctxq1tqvaCgkFb8cCA/edit?usp=sharing"",""กาฬสินธุ์!J213"")"),0)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IFERROR(__xludf.DUMMYFUNCTION("IMPORTRANGE(""https://docs.google.com/spreadsheets/d/1XL5vhW3sbDhbH9Cz0tuDiY8C3ctxq1tqvaCgkFb8cCA/edit?usp=sharing"",""กาฬสินธุ์!I214"")"),1)</f>
        <v>1</v>
      </c>
      <c r="J309" s="333">
        <f ca="1">IFERROR(__xludf.DUMMYFUNCTION("IMPORTRANGE(""https://docs.google.com/spreadsheets/d/1XL5vhW3sbDhbH9Cz0tuDiY8C3ctxq1tqvaCgkFb8cCA/edit?usp=sharing"",""กาฬสินธุ์!J214"")"),0)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217600</v>
      </c>
      <c r="M310" s="152">
        <f t="shared" ca="1" si="93"/>
        <v>163200</v>
      </c>
      <c r="N310" s="152">
        <f t="shared" ca="1" si="93"/>
        <v>132475</v>
      </c>
      <c r="O310" s="151">
        <f t="shared" ref="O310:O312" ca="1" si="94">IF(L310&gt;0,N310*100/L310,0)</f>
        <v>60.880055147058826</v>
      </c>
      <c r="P310" s="151">
        <f t="shared" ref="P310:P312" ca="1" si="95">IF(M310&gt;0,N310*100/M310,0)</f>
        <v>81.173406862745097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217600</v>
      </c>
      <c r="M312" s="157">
        <f t="shared" ca="1" si="97"/>
        <v>163200</v>
      </c>
      <c r="N312" s="157">
        <f t="shared" ca="1" si="97"/>
        <v>132475</v>
      </c>
      <c r="O312" s="156">
        <f t="shared" ca="1" si="94"/>
        <v>60.880055147058826</v>
      </c>
      <c r="P312" s="156">
        <f t="shared" ca="1" si="95"/>
        <v>81.173406862745097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IFERROR(__xludf.DUMMYFUNCTION("IMPORTRANGE(""https://docs.google.com/spreadsheets/d/1Yj_ptqi66GCucihVvJfMjLAmec39IyEx_6qawtMGysU/edit?usp=sharing"",""สบก!DC38"")"),163200)</f>
        <v>163200</v>
      </c>
      <c r="N314" s="169">
        <f ca="1">IFERROR(__xludf.DUMMYFUNCTION("IMPORTRANGE(""https://docs.google.com/spreadsheets/d/1Yj_ptqi66GCucihVvJfMjLAmec39IyEx_6qawtMGysU/edit?usp=sharing"",""สบก!DD38"")"),132475)</f>
        <v>132475</v>
      </c>
      <c r="O314" s="169">
        <f ca="1">IF(L314&gt;0,N314*100/L314,0)</f>
        <v>60.880055147058826</v>
      </c>
      <c r="P314" s="169">
        <f ca="1">IF(M314&gt;0,N314*100/M314,0)</f>
        <v>81.173406862745097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IFERROR(__xludf.DUMMYFUNCTION("IMPORTRANGE(""https://docs.google.com/spreadsheets/d/1XL5vhW3sbDhbH9Cz0tuDiY8C3ctxq1tqvaCgkFb8cCA/edit?usp=sharing"",""กาฬสินธุ์!J222"")"),1)</f>
        <v>1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IFERROR(__xludf.DUMMYFUNCTION("IMPORTRANGE(""https://docs.google.com/spreadsheets/d/1XL5vhW3sbDhbH9Cz0tuDiY8C3ctxq1tqvaCgkFb8cCA/edit?usp=sharing"",""กาฬสินธุ์!J223"")"),1)</f>
        <v>1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IFERROR(__xludf.DUMMYFUNCTION("IMPORTRANGE(""https://docs.google.com/spreadsheets/d/1XL5vhW3sbDhbH9Cz0tuDiY8C3ctxq1tqvaCgkFb8cCA/edit?usp=sharing"",""กาฬสินธุ์!J226"")"),0)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IFERROR(__xludf.DUMMYFUNCTION("IMPORTRANGE(""https://docs.google.com/spreadsheets/d/1XL5vhW3sbDhbH9Cz0tuDiY8C3ctxq1tqvaCgkFb8cCA/edit?usp=sharing"",""กาฬสินธุ์!I228"")"),345)</f>
        <v>345</v>
      </c>
      <c r="J328" s="339">
        <f ca="1">IFERROR(__xludf.DUMMYFUNCTION("IMPORTRANGE(""https://docs.google.com/spreadsheets/d/1XL5vhW3sbDhbH9Cz0tuDiY8C3ctxq1tqvaCgkFb8cCA/edit?usp=sharing"",""กาฬสินธุ์!J228"")"),3)</f>
        <v>3</v>
      </c>
      <c r="K328" s="317">
        <f ca="1">IF(I328&gt;0,J328*100/I328,0)</f>
        <v>0.86956521739130432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1108090</v>
      </c>
      <c r="M329" s="152">
        <f t="shared" ca="1" si="98"/>
        <v>828860</v>
      </c>
      <c r="N329" s="152">
        <f t="shared" ca="1" si="98"/>
        <v>666640.04</v>
      </c>
      <c r="O329" s="151">
        <f t="shared" ref="O329:O331" ca="1" si="99">IF(L329&gt;0,N329*100/L329,0)</f>
        <v>60.16118185345956</v>
      </c>
      <c r="P329" s="151">
        <f t="shared" ref="P329:P331" ca="1" si="100">IF(M329&gt;0,N329*100/M329,0)</f>
        <v>80.428545230798932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1108090</v>
      </c>
      <c r="M331" s="157">
        <f t="shared" ca="1" si="102"/>
        <v>828860</v>
      </c>
      <c r="N331" s="157">
        <f t="shared" ca="1" si="102"/>
        <v>666640.04</v>
      </c>
      <c r="O331" s="156">
        <f t="shared" ca="1" si="99"/>
        <v>60.16118185345956</v>
      </c>
      <c r="P331" s="156">
        <f t="shared" ca="1" si="100"/>
        <v>80.428545230798932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1070290</v>
      </c>
      <c r="M333" s="168">
        <f ca="1">IFERROR(__xludf.DUMMYFUNCTION("IMPORTRANGE(""https://docs.google.com/spreadsheets/d/1Yj_ptqi66GCucihVvJfMjLAmec39IyEx_6qawtMGysU/edit?usp=sharing"",""สบก!DL38"")"),791060)</f>
        <v>791060</v>
      </c>
      <c r="N333" s="169">
        <f ca="1">IFERROR(__xludf.DUMMYFUNCTION("IMPORTRANGE(""https://docs.google.com/spreadsheets/d/1Yj_ptqi66GCucihVvJfMjLAmec39IyEx_6qawtMGysU/edit?usp=sharing"",""สบก!DM38"")"),628840.04)</f>
        <v>628840.04</v>
      </c>
      <c r="O333" s="169">
        <f ca="1">IF(L333&gt;0,N333*100/L333,0)</f>
        <v>58.754173168019882</v>
      </c>
      <c r="P333" s="169">
        <f ca="1">IF(M333&gt;0,N333*100/M333,0)</f>
        <v>79.493343109245828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IFERROR(__xludf.DUMMYFUNCTION("IMPORTRANGE(""https://docs.google.com/spreadsheets/d/1Yj_ptqi66GCucihVvJfMjLAmec39IyEx_6qawtMGysU/edit?usp=sharing"",""สบก!DI38"")"),458890)</f>
        <v>458890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IFERROR(__xludf.DUMMYFUNCTION("IMPORTRANGE(""https://docs.google.com/spreadsheets/d/1XL5vhW3sbDhbH9Cz0tuDiY8C3ctxq1tqvaCgkFb8cCA/edit?usp=sharing"",""กาฬสินธุ์!J234"")"),301)</f>
        <v>301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IFERROR(__xludf.DUMMYFUNCTION("IMPORTRANGE(""https://docs.google.com/spreadsheets/d/1XL5vhW3sbDhbH9Cz0tuDiY8C3ctxq1tqvaCgkFb8cCA/edit?usp=sharing"",""กาฬสินธุ์!J235"")"),2490.14)</f>
        <v>2490.14</v>
      </c>
      <c r="K340" s="342">
        <f t="shared" ca="1" si="103"/>
        <v>90.881021897810214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IFERROR(__xludf.DUMMYFUNCTION("IMPORTRANGE(""https://docs.google.com/spreadsheets/d/1XL5vhW3sbDhbH9Cz0tuDiY8C3ctxq1tqvaCgkFb8cCA/edit?usp=sharing"",""กาฬสินธุ์!J236"")"),297)</f>
        <v>297</v>
      </c>
      <c r="K341" s="342">
        <f t="shared" ca="1" si="103"/>
        <v>86.086956521739125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IFERROR(__xludf.DUMMYFUNCTION("IMPORTRANGE(""https://docs.google.com/spreadsheets/d/1XL5vhW3sbDhbH9Cz0tuDiY8C3ctxq1tqvaCgkFb8cCA/edit?usp=sharing"",""กาฬสินธุ์!J237"")"),2598.97)</f>
        <v>2598.9699999999998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IFERROR(__xludf.DUMMYFUNCTION("IMPORTRANGE(""https://docs.google.com/spreadsheets/d/1XL5vhW3sbDhbH9Cz0tuDiY8C3ctxq1tqvaCgkFb8cCA/edit?usp=sharing"",""กาฬสินธุ์!J240"")"),3)</f>
        <v>3</v>
      </c>
      <c r="K345" s="342">
        <f t="shared" ca="1" si="103"/>
        <v>0.86956521739130432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IFERROR(__xludf.DUMMYFUNCTION("IMPORTRANGE(""https://docs.google.com/spreadsheets/d/1XL5vhW3sbDhbH9Cz0tuDiY8C3ctxq1tqvaCgkFb8cCA/edit?usp=sharing"",""กาฬสินธุ์!J241"")"),79.22)</f>
        <v>79.22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IFERROR(__xludf.DUMMYFUNCTION("IMPORTRANGE(""https://docs.google.com/spreadsheets/d/1XL5vhW3sbDhbH9Cz0tuDiY8C3ctxq1tqvaCgkFb8cCA/edit?usp=sharing"",""กาฬสินธุ์!L242"")"),2496440)</f>
        <v>2496440</v>
      </c>
      <c r="M347" s="358"/>
      <c r="N347" s="358">
        <f ca="1">IFERROR(__xludf.DUMMYFUNCTION("IMPORTRANGE(""https://docs.google.com/spreadsheets/d/1XL5vhW3sbDhbH9Cz0tuDiY8C3ctxq1tqvaCgkFb8cCA/edit?usp=sharing"",""กาฬสินธุ์!M242"")"),710415)</f>
        <v>710415</v>
      </c>
      <c r="O347" s="358">
        <f ca="1">+IF(L347&gt;0,N347*100/L347,0)</f>
        <v>28.457122943070932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IFERROR(__xludf.DUMMYFUNCTION("IMPORTRANGE(""https://docs.google.com/spreadsheets/d/1XL5vhW3sbDhbH9Cz0tuDiY8C3ctxq1tqvaCgkFb8cCA/edit?usp=sharing"",""กาฬสินธุ์!M244"")"),139338)</f>
        <v>139338</v>
      </c>
      <c r="O349" s="373">
        <f ca="1">+IF(L349&gt;0,N349*100/L349,0)</f>
        <v>24.170482930890923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IFERROR(__xludf.DUMMYFUNCTION("IMPORTRANGE(""https://docs.google.com/spreadsheets/d/1XL5vhW3sbDhbH9Cz0tuDiY8C3ctxq1tqvaCgkFb8cCA/edit?usp=sharing"",""กาฬสินธุ์!J245"")"),60)</f>
        <v>60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IFERROR(__xludf.DUMMYFUNCTION("IMPORTRANGE(""https://docs.google.com/spreadsheets/d/1XL5vhW3sbDhbH9Cz0tuDiY8C3ctxq1tqvaCgkFb8cCA/edit?usp=sharing"",""กาฬสินธุ์!L247"")"),576480)</f>
        <v>576480</v>
      </c>
      <c r="M352" s="165"/>
      <c r="N352" s="164">
        <f ca="1">IFERROR(__xludf.DUMMYFUNCTION("IMPORTRANGE(""https://docs.google.com/spreadsheets/d/1XL5vhW3sbDhbH9Cz0tuDiY8C3ctxq1tqvaCgkFb8cCA/edit?usp=sharing"",""กาฬสินธุ์!M247"")"),139338)</f>
        <v>139338</v>
      </c>
      <c r="O352" s="165">
        <f t="shared" ca="1" si="105"/>
        <v>24.170482930890923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IFERROR(__xludf.DUMMYFUNCTION("IMPORTRANGE(""https://docs.google.com/spreadsheets/d/1XL5vhW3sbDhbH9Cz0tuDiY8C3ctxq1tqvaCgkFb8cCA/edit?usp=sharing"",""กาฬสินธุ์!L249"")"),576480)</f>
        <v>576480</v>
      </c>
      <c r="M354" s="169"/>
      <c r="N354" s="168">
        <f ca="1">IFERROR(__xludf.DUMMYFUNCTION("IMPORTRANGE(""https://docs.google.com/spreadsheets/d/1XL5vhW3sbDhbH9Cz0tuDiY8C3ctxq1tqvaCgkFb8cCA/edit?usp=sharing"",""กาฬสินธุ์!M249"")"),139338)</f>
        <v>139338</v>
      </c>
      <c r="O354" s="169">
        <f t="shared" ca="1" si="105"/>
        <v>24.170482930890923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IFERROR(__xludf.DUMMYFUNCTION("IMPORTRANGE(""https://docs.google.com/spreadsheets/d/1XL5vhW3sbDhbH9Cz0tuDiY8C3ctxq1tqvaCgkFb8cCA/edit?usp=sharing"",""กาฬสินธุ์!M252"")"),50348)</f>
        <v>50348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IFERROR(__xludf.DUMMYFUNCTION("IMPORTRANGE(""https://docs.google.com/spreadsheets/d/1XL5vhW3sbDhbH9Cz0tuDiY8C3ctxq1tqvaCgkFb8cCA/edit?usp=sharing"",""กาฬสินธุ์!M253"")"),15790)</f>
        <v>15790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IFERROR(__xludf.DUMMYFUNCTION("IMPORTRANGE(""https://docs.google.com/spreadsheets/d/1XL5vhW3sbDhbH9Cz0tuDiY8C3ctxq1tqvaCgkFb8cCA/edit?usp=sharing"",""กาฬสินธุ์!J263"")"),60)</f>
        <v>60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IFERROR(__xludf.DUMMYFUNCTION("IMPORTRANGE(""https://docs.google.com/spreadsheets/d/1XL5vhW3sbDhbH9Cz0tuDiY8C3ctxq1tqvaCgkFb8cCA/edit?usp=sharing"",""กาฬสินธุ์!J267"")"),60)</f>
        <v>60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IFERROR(__xludf.DUMMYFUNCTION("IMPORTRANGE(""https://docs.google.com/spreadsheets/d/1XL5vhW3sbDhbH9Cz0tuDiY8C3ctxq1tqvaCgkFb8cCA/edit?usp=sharing"",""กาฬสินธุ์!J274"")"),0)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IFERROR(__xludf.DUMMYFUNCTION("IMPORTRANGE(""https://docs.google.com/spreadsheets/d/1XL5vhW3sbDhbH9Cz0tuDiY8C3ctxq1tqvaCgkFb8cCA/edit?usp=sharing"",""กาฬสินธุ์!M275"")"),219712)</f>
        <v>219712</v>
      </c>
      <c r="O380" s="373">
        <f ca="1">+IF(L380&gt;0,N380*100/L380,0)</f>
        <v>21.361956986738225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IFERROR(__xludf.DUMMYFUNCTION("IMPORTRANGE(""https://docs.google.com/spreadsheets/d/1XL5vhW3sbDhbH9Cz0tuDiY8C3ctxq1tqvaCgkFb8cCA/edit?usp=sharing"",""กาฬสินธุ์!M278"")"),219712)</f>
        <v>219712</v>
      </c>
      <c r="O383" s="165">
        <f t="shared" ca="1" si="109"/>
        <v>21.361956986738225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IFERROR(__xludf.DUMMYFUNCTION("IMPORTRANGE(""https://docs.google.com/spreadsheets/d/1XL5vhW3sbDhbH9Cz0tuDiY8C3ctxq1tqvaCgkFb8cCA/edit?usp=sharing"",""กาฬสินธุ์!M280"")"),219712)</f>
        <v>219712</v>
      </c>
      <c r="O385" s="169">
        <f t="shared" ca="1" si="109"/>
        <v>21.361956986738225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IFERROR(__xludf.DUMMYFUNCTION("IMPORTRANGE(""https://docs.google.com/spreadsheets/d/1XL5vhW3sbDhbH9Cz0tuDiY8C3ctxq1tqvaCgkFb8cCA/edit?usp=sharing"",""กาฬสินธุ์!M281"")"),147065)</f>
        <v>147065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IFERROR(__xludf.DUMMYFUNCTION("IMPORTRANGE(""https://docs.google.com/spreadsheets/d/1XL5vhW3sbDhbH9Cz0tuDiY8C3ctxq1tqvaCgkFb8cCA/edit?usp=sharing"",""กาฬสินธุ์!M283"")"),49677)</f>
        <v>49677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IFERROR(__xludf.DUMMYFUNCTION("IMPORTRANGE(""https://docs.google.com/spreadsheets/d/1XL5vhW3sbDhbH9Cz0tuDiY8C3ctxq1tqvaCgkFb8cCA/edit?usp=sharing"",""กาฬสินธุ์!M284"")"),22970)</f>
        <v>22970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IFERROR(__xludf.DUMMYFUNCTION("IMPORTRANGE(""https://docs.google.com/spreadsheets/d/1XL5vhW3sbDhbH9Cz0tuDiY8C3ctxq1tqvaCgkFb8cCA/edit?usp=sharing"",""กาฬสินธุ์!J295"")"),0)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IFERROR(__xludf.DUMMYFUNCTION("IMPORTRANGE(""https://docs.google.com/spreadsheets/d/1XL5vhW3sbDhbH9Cz0tuDiY8C3ctxq1tqvaCgkFb8cCA/edit?usp=sharing"",""กาฬสินธุ์!M296"")"),85320)</f>
        <v>85320</v>
      </c>
      <c r="O401" s="373">
        <f ca="1">+IF(L401&gt;0,N401*100/L401,0)</f>
        <v>64.778680434287452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IFERROR(__xludf.DUMMYFUNCTION("IMPORTRANGE(""https://docs.google.com/spreadsheets/d/1XL5vhW3sbDhbH9Cz0tuDiY8C3ctxq1tqvaCgkFb8cCA/edit?usp=sharing"",""กาฬสินธุ์!M299"")"),85320)</f>
        <v>85320</v>
      </c>
      <c r="O404" s="169">
        <f t="shared" ca="1" si="112"/>
        <v>64.778680434287452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IFERROR(__xludf.DUMMYFUNCTION("IMPORTRANGE(""https://docs.google.com/spreadsheets/d/1XL5vhW3sbDhbH9Cz0tuDiY8C3ctxq1tqvaCgkFb8cCA/edit?usp=sharing"",""กาฬสินธุ์!M301"")"),85320)</f>
        <v>85320</v>
      </c>
      <c r="O406" s="169">
        <f t="shared" ca="1" si="112"/>
        <v>64.778680434287452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IFERROR(__xludf.DUMMYFUNCTION("IMPORTRANGE(""https://docs.google.com/spreadsheets/d/1XL5vhW3sbDhbH9Cz0tuDiY8C3ctxq1tqvaCgkFb8cCA/edit?usp=sharing"",""กาฬสินธุ์!M302"")"),48820)</f>
        <v>48820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IFERROR(__xludf.DUMMYFUNCTION("IMPORTRANGE(""https://docs.google.com/spreadsheets/d/1XL5vhW3sbDhbH9Cz0tuDiY8C3ctxq1tqvaCgkFb8cCA/edit?usp=sharing"",""กาฬสินธุ์!M305"")"),11000)</f>
        <v>11000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IFERROR(__xludf.DUMMYFUNCTION("IMPORTRANGE(""https://docs.google.com/spreadsheets/d/1XL5vhW3sbDhbH9Cz0tuDiY8C3ctxq1tqvaCgkFb8cCA/edit?usp=sharing"",""กาฬสินธุ์!J329"")"),0)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IFERROR(__xludf.DUMMYFUNCTION("IMPORTRANGE(""https://docs.google.com/spreadsheets/d/1XL5vhW3sbDhbH9Cz0tuDiY8C3ctxq1tqvaCgkFb8cCA/edit?usp=sharing"",""กาฬสินธุ์!M330"")"),104395)</f>
        <v>104395</v>
      </c>
      <c r="O435" s="412">
        <f t="shared" ref="O435:O439" ca="1" si="114">+IF(L435&gt;0,N435*100/L435,0)</f>
        <v>62.139880952380949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IFERROR(__xludf.DUMMYFUNCTION("IMPORTRANGE(""https://docs.google.com/spreadsheets/d/1XL5vhW3sbDhbH9Cz0tuDiY8C3ctxq1tqvaCgkFb8cCA/edit?usp=sharing"",""กาฬสินธุ์!M332"")"),104395)</f>
        <v>104395</v>
      </c>
      <c r="O437" s="169">
        <f t="shared" ca="1" si="114"/>
        <v>62.139880952380949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IFERROR(__xludf.DUMMYFUNCTION("IMPORTRANGE(""https://docs.google.com/spreadsheets/d/1XL5vhW3sbDhbH9Cz0tuDiY8C3ctxq1tqvaCgkFb8cCA/edit?usp=sharing"",""กาฬสินธุ์!M334"")"),104395)</f>
        <v>104395</v>
      </c>
      <c r="O439" s="169">
        <f t="shared" ca="1" si="114"/>
        <v>62.139880952380949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IFERROR(__xludf.DUMMYFUNCTION("IMPORTRANGE(""https://docs.google.com/spreadsheets/d/1XL5vhW3sbDhbH9Cz0tuDiY8C3ctxq1tqvaCgkFb8cCA/edit?usp=sharing"",""กาฬสินธุ์!M335"")"),68275)</f>
        <v>68275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IFERROR(__xludf.DUMMYFUNCTION("IMPORTRANGE(""https://docs.google.com/spreadsheets/d/1XL5vhW3sbDhbH9Cz0tuDiY8C3ctxq1tqvaCgkFb8cCA/edit?usp=sharing"",""กาฬสินธุ์!M338"")"),36120)</f>
        <v>36120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IFERROR(__xludf.DUMMYFUNCTION("IMPORTRANGE(""https://docs.google.com/spreadsheets/d/1XL5vhW3sbDhbH9Cz0tuDiY8C3ctxq1tqvaCgkFb8cCA/edit?usp=sharing"",""กาฬสินธุ์!J349"")"),0)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IFERROR(__xludf.DUMMYFUNCTION("IMPORTRANGE(""https://docs.google.com/spreadsheets/d/1XL5vhW3sbDhbH9Cz0tuDiY8C3ctxq1tqvaCgkFb8cCA/edit?usp=sharing"",""กาฬสินธุ์!L350"")"),263510)</f>
        <v>263510</v>
      </c>
      <c r="M455" s="373"/>
      <c r="N455" s="373">
        <f ca="1">IFERROR(__xludf.DUMMYFUNCTION("IMPORTRANGE(""https://docs.google.com/spreadsheets/d/1XL5vhW3sbDhbH9Cz0tuDiY8C3ctxq1tqvaCgkFb8cCA/edit?usp=sharing"",""กาฬสินธุ์!M350"")"),55780)</f>
        <v>55780</v>
      </c>
      <c r="O455" s="373">
        <f t="shared" ref="O455:O459" ca="1" si="116">+IF(L455&gt;0,N455*100/L455,0)</f>
        <v>21.168077112823042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IFERROR(__xludf.DUMMYFUNCTION("IMPORTRANGE(""https://docs.google.com/spreadsheets/d/1XL5vhW3sbDhbH9Cz0tuDiY8C3ctxq1tqvaCgkFb8cCA/edit?usp=sharing"",""กาฬสินธุ์!L352"")"),263510)</f>
        <v>263510</v>
      </c>
      <c r="M457" s="165"/>
      <c r="N457" s="169">
        <f ca="1">IFERROR(__xludf.DUMMYFUNCTION("IMPORTRANGE(""https://docs.google.com/spreadsheets/d/1XL5vhW3sbDhbH9Cz0tuDiY8C3ctxq1tqvaCgkFb8cCA/edit?usp=sharing"",""กาฬสินธุ์!M352"")"),55780)</f>
        <v>55780</v>
      </c>
      <c r="O457" s="169">
        <f t="shared" ca="1" si="116"/>
        <v>21.168077112823042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IFERROR(__xludf.DUMMYFUNCTION("IMPORTRANGE(""https://docs.google.com/spreadsheets/d/1XL5vhW3sbDhbH9Cz0tuDiY8C3ctxq1tqvaCgkFb8cCA/edit?usp=sharing"",""กาฬสินธุ์!L354"")"),263510)</f>
        <v>263510</v>
      </c>
      <c r="M459" s="169"/>
      <c r="N459" s="169">
        <f ca="1">IFERROR(__xludf.DUMMYFUNCTION("IMPORTRANGE(""https://docs.google.com/spreadsheets/d/1XL5vhW3sbDhbH9Cz0tuDiY8C3ctxq1tqvaCgkFb8cCA/edit?usp=sharing"",""กาฬสินธุ์!M354"")"),55780)</f>
        <v>55780</v>
      </c>
      <c r="O459" s="169">
        <f t="shared" ca="1" si="116"/>
        <v>21.168077112823042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IFERROR(__xludf.DUMMYFUNCTION("IMPORTRANGE(""https://docs.google.com/spreadsheets/d/1XL5vhW3sbDhbH9Cz0tuDiY8C3ctxq1tqvaCgkFb8cCA/edit?usp=sharing"",""กาฬสินธุ์!M358"")"),55780)</f>
        <v>55780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IFERROR(__xludf.DUMMYFUNCTION("IMPORTRANGE(""https://docs.google.com/spreadsheets/d/1XL5vhW3sbDhbH9Cz0tuDiY8C3ctxq1tqvaCgkFb8cCA/edit?usp=sharing"",""กาฬสินธุ์!I359"")"),26881)</f>
        <v>26881</v>
      </c>
      <c r="J464" s="267">
        <f ca="1">IFERROR(__xludf.DUMMYFUNCTION("IMPORTRANGE(""https://docs.google.com/spreadsheets/d/1XL5vhW3sbDhbH9Cz0tuDiY8C3ctxq1tqvaCgkFb8cCA/edit?usp=sharing"",""กาฬสินธุ์!J359"")"),0)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IFERROR(__xludf.DUMMYFUNCTION("IMPORTRANGE(""https://docs.google.com/spreadsheets/d/1XL5vhW3sbDhbH9Cz0tuDiY8C3ctxq1tqvaCgkFb8cCA/edit?usp=sharing"",""กาฬสินธุ์!J360"")"),29120)</f>
        <v>29120</v>
      </c>
      <c r="K465" s="202">
        <f t="shared" ca="1" si="117"/>
        <v>108.32930322532644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IFERROR(__xludf.DUMMYFUNCTION("IMPORTRANGE(""https://docs.google.com/spreadsheets/d/1XL5vhW3sbDhbH9Cz0tuDiY8C3ctxq1tqvaCgkFb8cCA/edit?usp=sharing"",""กาฬสินธุ์!J361"")"),3193)</f>
        <v>3193</v>
      </c>
      <c r="K466" s="202">
        <f t="shared" ca="1" si="117"/>
        <v>100.031328320802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IFERROR(__xludf.DUMMYFUNCTION("IMPORTRANGE(""https://docs.google.com/spreadsheets/d/1XL5vhW3sbDhbH9Cz0tuDiY8C3ctxq1tqvaCgkFb8cCA/edit?usp=sharing"",""กาฬสินธุ์!J362"")"),25400)</f>
        <v>25400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IFERROR(__xludf.DUMMYFUNCTION("IMPORTRANGE(""https://docs.google.com/spreadsheets/d/1XL5vhW3sbDhbH9Cz0tuDiY8C3ctxq1tqvaCgkFb8cCA/edit?usp=sharing"",""กาฬสินธุ์!J364"")"),2410)</f>
        <v>2410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IFERROR(__xludf.DUMMYFUNCTION("IMPORTRANGE(""https://docs.google.com/spreadsheets/d/1XL5vhW3sbDhbH9Cz0tuDiY8C3ctxq1tqvaCgkFb8cCA/edit?usp=sharing"",""กาฬสินธุ์!J365"")"),234)</f>
        <v>234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IFERROR(__xludf.DUMMYFUNCTION("IMPORTRANGE(""https://docs.google.com/spreadsheets/d/1XL5vhW3sbDhbH9Cz0tuDiY8C3ctxq1tqvaCgkFb8cCA/edit?usp=sharing"",""กาฬสินธุ์!J367"")"),100)</f>
        <v>100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IFERROR(__xludf.DUMMYFUNCTION("IMPORTRANGE(""https://docs.google.com/spreadsheets/d/1XL5vhW3sbDhbH9Cz0tuDiY8C3ctxq1tqvaCgkFb8cCA/edit?usp=sharing"",""กาฬสินธุ์!J368"")"),26881)</f>
        <v>26881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IFERROR(__xludf.DUMMYFUNCTION("IMPORTRANGE(""https://docs.google.com/spreadsheets/d/1XL5vhW3sbDhbH9Cz0tuDiY8C3ctxq1tqvaCgkFb8cCA/edit?usp=sharing"",""กาฬสินธุ์!J369"")"),3192)</f>
        <v>3192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IFERROR(__xludf.DUMMYFUNCTION("IMPORTRANGE(""https://docs.google.com/spreadsheets/d/1XL5vhW3sbDhbH9Cz0tuDiY8C3ctxq1tqvaCgkFb8cCA/edit?usp=sharing"",""กาฬสินธุ์!J370"")"),21460)</f>
        <v>21460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IFERROR(__xludf.DUMMYFUNCTION("IMPORTRANGE(""https://docs.google.com/spreadsheets/d/1XL5vhW3sbDhbH9Cz0tuDiY8C3ctxq1tqvaCgkFb8cCA/edit?usp=sharing"",""กาฬสินธุ์!J371"")"),2689)</f>
        <v>2689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IFERROR(__xludf.DUMMYFUNCTION("IMPORTRANGE(""https://docs.google.com/spreadsheets/d/1XL5vhW3sbDhbH9Cz0tuDiY8C3ctxq1tqvaCgkFb8cCA/edit?usp=sharing"",""กาฬสินธุ์!J372"")"),3964)</f>
        <v>3964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IFERROR(__xludf.DUMMYFUNCTION("IMPORTRANGE(""https://docs.google.com/spreadsheets/d/1XL5vhW3sbDhbH9Cz0tuDiY8C3ctxq1tqvaCgkFb8cCA/edit?usp=sharing"",""กาฬสินธุ์!J373"")"),375)</f>
        <v>375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IFERROR(__xludf.DUMMYFUNCTION("IMPORTRANGE(""https://docs.google.com/spreadsheets/d/1XL5vhW3sbDhbH9Cz0tuDiY8C3ctxq1tqvaCgkFb8cCA/edit?usp=sharing"",""กาฬสินธุ์!J374"")"),1457)</f>
        <v>1457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IFERROR(__xludf.DUMMYFUNCTION("IMPORTRANGE(""https://docs.google.com/spreadsheets/d/1XL5vhW3sbDhbH9Cz0tuDiY8C3ctxq1tqvaCgkFb8cCA/edit?usp=sharing"",""กาฬสินธุ์!J375"")"),128)</f>
        <v>128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IFERROR(__xludf.DUMMYFUNCTION("IMPORTRANGE(""https://docs.google.com/spreadsheets/d/1XL5vhW3sbDhbH9Cz0tuDiY8C3ctxq1tqvaCgkFb8cCA/edit?usp=sharing"",""กาฬสินธุ์!J392"")"),1075)</f>
        <v>1075</v>
      </c>
      <c r="K497" s="444">
        <f t="shared" ca="1" si="117"/>
        <v>60.906515580736546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IFERROR(__xludf.DUMMYFUNCTION("IMPORTRANGE(""https://docs.google.com/spreadsheets/d/1XL5vhW3sbDhbH9Cz0tuDiY8C3ctxq1tqvaCgkFb8cCA/edit?usp=sharing"",""กาฬสินธุ์!J393"")"),1075)</f>
        <v>1075</v>
      </c>
      <c r="K498" s="202">
        <f t="shared" ca="1" si="117"/>
        <v>60.906515580736546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IFERROR(__xludf.DUMMYFUNCTION("IMPORTRANGE(""https://docs.google.com/spreadsheets/d/1XL5vhW3sbDhbH9Cz0tuDiY8C3ctxq1tqvaCgkFb8cCA/edit?usp=sharing"",""กาฬสินธุ์!J394"")"),105)</f>
        <v>105</v>
      </c>
      <c r="K499" s="202">
        <f t="shared" ca="1" si="117"/>
        <v>61.046511627906973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IFERROR(__xludf.DUMMYFUNCTION("IMPORTRANGE(""https://docs.google.com/spreadsheets/d/1XL5vhW3sbDhbH9Cz0tuDiY8C3ctxq1tqvaCgkFb8cCA/edit?usp=sharing"",""กาฬสินธุ์!J395"")"),801)</f>
        <v>801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IFERROR(__xludf.DUMMYFUNCTION("IMPORTRANGE(""https://docs.google.com/spreadsheets/d/1XL5vhW3sbDhbH9Cz0tuDiY8C3ctxq1tqvaCgkFb8cCA/edit?usp=sharing"",""กาฬสินธุ์!J396"")"),71)</f>
        <v>71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IFERROR(__xludf.DUMMYFUNCTION("IMPORTRANGE(""https://docs.google.com/spreadsheets/d/1XL5vhW3sbDhbH9Cz0tuDiY8C3ctxq1tqvaCgkFb8cCA/edit?usp=sharing"",""กาฬสินธุ์!J397"")"),791)</f>
        <v>791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IFERROR(__xludf.DUMMYFUNCTION("IMPORTRANGE(""https://docs.google.com/spreadsheets/d/1XL5vhW3sbDhbH9Cz0tuDiY8C3ctxq1tqvaCgkFb8cCA/edit?usp=sharing"",""กาฬสินธุ์!J398"")"),69)</f>
        <v>69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IFERROR(__xludf.DUMMYFUNCTION("IMPORTRANGE(""https://docs.google.com/spreadsheets/d/1XL5vhW3sbDhbH9Cz0tuDiY8C3ctxq1tqvaCgkFb8cCA/edit?usp=sharing"",""กาฬสินธุ์!J399"")"),10)</f>
        <v>10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IFERROR(__xludf.DUMMYFUNCTION("IMPORTRANGE(""https://docs.google.com/spreadsheets/d/1XL5vhW3sbDhbH9Cz0tuDiY8C3ctxq1tqvaCgkFb8cCA/edit?usp=sharing"",""กาฬสินธุ์!J404"")"),11)</f>
        <v>11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IFERROR(__xludf.DUMMYFUNCTION("IMPORTRANGE(""https://docs.google.com/spreadsheets/d/1XL5vhW3sbDhbH9Cz0tuDiY8C3ctxq1tqvaCgkFb8cCA/edit?usp=sharing"",""กาฬสินธุ์!J407"")"),9)</f>
        <v>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IFERROR(__xludf.DUMMYFUNCTION("IMPORTRANGE(""https://docs.google.com/spreadsheets/d/1XL5vhW3sbDhbH9Cz0tuDiY8C3ctxq1tqvaCgkFb8cCA/edit?usp=sharing"",""กาฬสินธุ์!J409"")"),190)</f>
        <v>190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IFERROR(__xludf.DUMMYFUNCTION("IMPORTRANGE(""https://docs.google.com/spreadsheets/d/1XL5vhW3sbDhbH9Cz0tuDiY8C3ctxq1tqvaCgkFb8cCA/edit?usp=sharing"",""กาฬสินธุ์!J410"")"),23)</f>
        <v>23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IFERROR(__xludf.DUMMYFUNCTION("IMPORTRANGE(""https://docs.google.com/spreadsheets/d/1XL5vhW3sbDhbH9Cz0tuDiY8C3ctxq1tqvaCgkFb8cCA/edit?usp=sharing"",""กาฬสินธุ์!I411"")"),0)</f>
        <v>0</v>
      </c>
      <c r="J516" s="267">
        <f ca="1">IFERROR(__xludf.DUMMYFUNCTION("IMPORTRANGE(""https://docs.google.com/spreadsheets/d/1XL5vhW3sbDhbH9Cz0tuDiY8C3ctxq1tqvaCgkFb8cCA/edit?usp=sharing"",""กาฬสินธุ์!J411"")"),0)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IFERROR(__xludf.DUMMYFUNCTION("IMPORTRANGE(""https://docs.google.com/spreadsheets/d/1XL5vhW3sbDhbH9Cz0tuDiY8C3ctxq1tqvaCgkFb8cCA/edit?usp=sharing"",""กาฬสินธุ์!I412"")"),0)</f>
        <v>0</v>
      </c>
      <c r="J517" s="284">
        <f ca="1">IFERROR(__xludf.DUMMYFUNCTION("IMPORTRANGE(""https://docs.google.com/spreadsheets/d/1XL5vhW3sbDhbH9Cz0tuDiY8C3ctxq1tqvaCgkFb8cCA/edit?usp=sharing"",""กาฬสินธุ์!J412"")"),0)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IFERROR(__xludf.DUMMYFUNCTION("IMPORTRANGE(""https://docs.google.com/spreadsheets/d/1XL5vhW3sbDhbH9Cz0tuDiY8C3ctxq1tqvaCgkFb8cCA/edit?usp=sharing"",""กาฬสินธุ์!I413"")"),0)</f>
        <v>0</v>
      </c>
      <c r="J518" s="284">
        <f ca="1">IFERROR(__xludf.DUMMYFUNCTION("IMPORTRANGE(""https://docs.google.com/spreadsheets/d/1XL5vhW3sbDhbH9Cz0tuDiY8C3ctxq1tqvaCgkFb8cCA/edit?usp=sharing"",""กาฬสินธุ์!J413"")"),0)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IFERROR(__xludf.DUMMYFUNCTION("IMPORTRANGE(""https://docs.google.com/spreadsheets/d/1XL5vhW3sbDhbH9Cz0tuDiY8C3ctxq1tqvaCgkFb8cCA/edit?usp=sharing"",""กาฬสินธุ์!J418"")"),3)</f>
        <v>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IFERROR(__xludf.DUMMYFUNCTION("IMPORTRANGE(""https://docs.google.com/spreadsheets/d/1XL5vhW3sbDhbH9Cz0tuDiY8C3ctxq1tqvaCgkFb8cCA/edit?usp=sharing"",""กาฬสินธุ์!I420"")"),3)</f>
        <v>3</v>
      </c>
      <c r="J525" s="284">
        <f ca="1">IFERROR(__xludf.DUMMYFUNCTION("IMPORTRANGE(""https://docs.google.com/spreadsheets/d/1XL5vhW3sbDhbH9Cz0tuDiY8C3ctxq1tqvaCgkFb8cCA/edit?usp=sharing"",""กาฬสินธุ์!J420"")"),0)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IFERROR(__xludf.DUMMYFUNCTION("IMPORTRANGE(""https://docs.google.com/spreadsheets/d/1XL5vhW3sbDhbH9Cz0tuDiY8C3ctxq1tqvaCgkFb8cCA/edit?usp=sharing"",""กาฬสินธุ์!I421"")"),1)</f>
        <v>1</v>
      </c>
      <c r="J526" s="284">
        <f ca="1">IFERROR(__xludf.DUMMYFUNCTION("IMPORTRANGE(""https://docs.google.com/spreadsheets/d/1XL5vhW3sbDhbH9Cz0tuDiY8C3ctxq1tqvaCgkFb8cCA/edit?usp=sharing"",""กาฬสินธุ์!J421"")"),0)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IFERROR(__xludf.DUMMYFUNCTION("IMPORTRANGE(""https://docs.google.com/spreadsheets/d/1XL5vhW3sbDhbH9Cz0tuDiY8C3ctxq1tqvaCgkFb8cCA/edit?usp=sharing"",""กาฬสินธุ์!M428"")"),24034)</f>
        <v>24034</v>
      </c>
      <c r="O533" s="412">
        <f t="shared" ref="O533:O537" ca="1" si="118">+IF(L533&gt;0,N533*100/L533,0)</f>
        <v>75.578616352201252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IFERROR(__xludf.DUMMYFUNCTION("IMPORTRANGE(""https://docs.google.com/spreadsheets/d/1XL5vhW3sbDhbH9Cz0tuDiY8C3ctxq1tqvaCgkFb8cCA/edit?usp=sharing"",""กาฬสินธุ์!L430"")"),31800)</f>
        <v>31800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IFERROR(__xludf.DUMMYFUNCTION("IMPORTRANGE(""https://docs.google.com/spreadsheets/d/1XL5vhW3sbDhbH9Cz0tuDiY8C3ctxq1tqvaCgkFb8cCA/edit?usp=sharing"",""กาฬสินธุ์!M430"")"),24034)</f>
        <v>24034</v>
      </c>
      <c r="O535" s="169">
        <f t="shared" ca="1" si="118"/>
        <v>75.578616352201252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IFERROR(__xludf.DUMMYFUNCTION("IMPORTRANGE(""https://docs.google.com/spreadsheets/d/1XL5vhW3sbDhbH9Cz0tuDiY8C3ctxq1tqvaCgkFb8cCA/edit?usp=sharing"",""กาฬสินธุ์!L432"")"),31800)</f>
        <v>31800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IFERROR(__xludf.DUMMYFUNCTION("IMPORTRANGE(""https://docs.google.com/spreadsheets/d/1XL5vhW3sbDhbH9Cz0tuDiY8C3ctxq1tqvaCgkFb8cCA/edit?usp=sharing"",""กาฬสินธุ์!M432"")"),24034)</f>
        <v>24034</v>
      </c>
      <c r="O537" s="169">
        <f t="shared" ca="1" si="118"/>
        <v>75.578616352201252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IFERROR(__xludf.DUMMYFUNCTION("IMPORTRANGE(""https://docs.google.com/spreadsheets/d/1XL5vhW3sbDhbH9Cz0tuDiY8C3ctxq1tqvaCgkFb8cCA/edit?usp=sharing"",""กาฬสินธุ์!M436"")"),9114)</f>
        <v>9114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IFERROR(__xludf.DUMMYFUNCTION("IMPORTRANGE(""https://docs.google.com/spreadsheets/d/1XL5vhW3sbDhbH9Cz0tuDiY8C3ctxq1tqvaCgkFb8cCA/edit?usp=sharing"",""กาฬสินธุ์!J459"")"),2404)</f>
        <v>2404</v>
      </c>
      <c r="K564" s="372">
        <f ca="1">IF(I564&gt;0,J564*100/I564,0)</f>
        <v>104.52173913043478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IFERROR(__xludf.DUMMYFUNCTION("IMPORTRANGE(""https://docs.google.com/spreadsheets/d/1XL5vhW3sbDhbH9Cz0tuDiY8C3ctxq1tqvaCgkFb8cCA/edit?usp=sharing"",""กาฬสินธุ์!M459"")"),80436)</f>
        <v>80436</v>
      </c>
      <c r="O564" s="373">
        <f t="shared" ref="O564:O568" ca="1" si="122">+IF(L564&gt;0,N564*100/L564,0)</f>
        <v>56.233221476510067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IFERROR(__xludf.DUMMYFUNCTION("IMPORTRANGE(""https://docs.google.com/spreadsheets/d/1XL5vhW3sbDhbH9Cz0tuDiY8C3ctxq1tqvaCgkFb8cCA/edit?usp=sharing"",""กาฬสินธุ์!M461"")"),80436)</f>
        <v>80436</v>
      </c>
      <c r="O566" s="169">
        <f t="shared" ca="1" si="122"/>
        <v>56.233221476510067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IFERROR(__xludf.DUMMYFUNCTION("IMPORTRANGE(""https://docs.google.com/spreadsheets/d/1XL5vhW3sbDhbH9Cz0tuDiY8C3ctxq1tqvaCgkFb8cCA/edit?usp=sharing"",""กาฬสินธุ์!M463"")"),80436)</f>
        <v>80436</v>
      </c>
      <c r="O568" s="169">
        <f t="shared" ca="1" si="122"/>
        <v>56.233221476510067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IFERROR(__xludf.DUMMYFUNCTION("IMPORTRANGE(""https://docs.google.com/spreadsheets/d/1XL5vhW3sbDhbH9Cz0tuDiY8C3ctxq1tqvaCgkFb8cCA/edit?usp=sharing"",""กาฬสินธุ์!M466"")"),50386)</f>
        <v>50386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IFERROR(__xludf.DUMMYFUNCTION("IMPORTRANGE(""https://docs.google.com/spreadsheets/d/1XL5vhW3sbDhbH9Cz0tuDiY8C3ctxq1tqvaCgkFb8cCA/edit?usp=sharing"",""กาฬสินธุ์!M467"")"),30050)</f>
        <v>30050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IFERROR(__xludf.DUMMYFUNCTION("IMPORTRANGE(""https://docs.google.com/spreadsheets/d/1XL5vhW3sbDhbH9Cz0tuDiY8C3ctxq1tqvaCgkFb8cCA/edit?usp=sharing"",""กาฬสินธุ์!J468"")"),2404)</f>
        <v>2404</v>
      </c>
      <c r="K573" s="202">
        <f ca="1">IF(I573&gt;0,J573*100/I573,0)</f>
        <v>104.52173913043478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IFERROR(__xludf.DUMMYFUNCTION("IMPORTRANGE(""https://docs.google.com/spreadsheets/d/1XL5vhW3sbDhbH9Cz0tuDiY8C3ctxq1tqvaCgkFb8cCA/edit?usp=sharing"",""กาฬสินธุ์!J472"")"),2229)</f>
        <v>2229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IFERROR(__xludf.DUMMYFUNCTION("IMPORTRANGE(""https://docs.google.com/spreadsheets/d/1XL5vhW3sbDhbH9Cz0tuDiY8C3ctxq1tqvaCgkFb8cCA/edit?usp=sharing"",""กาฬสินธุ์!J484"")"),30)</f>
        <v>30</v>
      </c>
      <c r="K589" s="163">
        <f t="shared" ref="K589:K596" ca="1" si="125">IF(I589&gt;0,J589*100/I589,0)</f>
        <v>100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IFERROR(__xludf.DUMMYFUNCTION("IMPORTRANGE(""https://docs.google.com/spreadsheets/d/1XL5vhW3sbDhbH9Cz0tuDiY8C3ctxq1tqvaCgkFb8cCA/edit?usp=sharing"",""กาฬสินธุ์!J485"")"),19.14)</f>
        <v>19.14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IFERROR(__xludf.DUMMYFUNCTION("IMPORTRANGE(""https://docs.google.com/spreadsheets/d/1XL5vhW3sbDhbH9Cz0tuDiY8C3ctxq1tqvaCgkFb8cCA/edit?usp=sharing"",""กาฬสินธุ์!J486"")"),13)</f>
        <v>13</v>
      </c>
      <c r="K591" s="163">
        <f t="shared" ca="1" si="125"/>
        <v>43.333333333333336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IFERROR(__xludf.DUMMYFUNCTION("IMPORTRANGE(""https://docs.google.com/spreadsheets/d/1XL5vhW3sbDhbH9Cz0tuDiY8C3ctxq1tqvaCgkFb8cCA/edit?usp=sharing"",""กาฬสินธุ์!J487"")"),9.17)</f>
        <v>9.17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IFERROR(__xludf.DUMMYFUNCTION("IMPORTRANGE(""https://docs.google.com/spreadsheets/d/1XL5vhW3sbDhbH9Cz0tuDiY8C3ctxq1tqvaCgkFb8cCA/edit?usp=sharing"",""กาฬสินธุ์!I491"")"),0)</f>
        <v>0</v>
      </c>
      <c r="J596" s="241">
        <f ca="1">IFERROR(__xludf.DUMMYFUNCTION("IMPORTRANGE(""https://docs.google.com/spreadsheets/d/1XL5vhW3sbDhbH9Cz0tuDiY8C3ctxq1tqvaCgkFb8cCA/edit?usp=sharing"",""กาฬสินธุ์!J491"")"),0)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7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IFERROR(__xludf.DUMMYFUNCTION("IMPORTRANGE(""https://docs.google.com/spreadsheets/d/1XL5vhW3sbDhbH9Cz0tuDiY8C3ctxq1tqvaCgkFb8cCA/edit?usp=sharing"",""กาฬสินธุ์!L492"")"),4550)</f>
        <v>4550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IFERROR(__xludf.DUMMYFUNCTION("IMPORTRANGE(""https://docs.google.com/spreadsheets/d/1XL5vhW3sbDhbH9Cz0tuDiY8C3ctxq1tqvaCgkFb8cCA/edit?usp=sharing"",""กาฬสินธุ์!L494"")"),4550)</f>
        <v>4550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30.76923076923077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IFERROR(__xludf.DUMMYFUNCTION("IMPORTRANGE(""https://docs.google.com/spreadsheets/d/1XL5vhW3sbDhbH9Cz0tuDiY8C3ctxq1tqvaCgkFb8cCA/edit?usp=sharing"",""กาฬสินธุ์!L496"")"),4550)</f>
        <v>4550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30.76923076923077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1">
        <f ca="1">IFERROR(__xludf.DUMMYFUNCTION("IMPORTRANGE(""https://docs.google.com/spreadsheets/d/1XL5vhW3sbDhbH9Cz0tuDiY8C3ctxq1tqvaCgkFb8cCA/edit?usp=sharing"",""กาฬสินธุ์!J523"")"),2566536.28)</f>
        <v>2566536.2799999998</v>
      </c>
      <c r="K628" s="342">
        <f t="shared" ref="K628:K635" ca="1" si="129">IF(I628&gt;0,J628*100/I628,0)</f>
        <v>95.505248293650652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IFERROR(__xludf.DUMMYFUNCTION("IMPORTRANGE(""https://docs.google.com/spreadsheets/d/1XL5vhW3sbDhbH9Cz0tuDiY8C3ctxq1tqvaCgkFb8cCA/edit?usp=sharing"",""กาฬสินธุ์!I524"")"),180)</f>
        <v>180</v>
      </c>
      <c r="J629" s="341">
        <f ca="1">IFERROR(__xludf.DUMMYFUNCTION("IMPORTRANGE(""https://docs.google.com/spreadsheets/d/1XL5vhW3sbDhbH9Cz0tuDiY8C3ctxq1tqvaCgkFb8cCA/edit?usp=sharing"",""กาฬสินธุ์!J524"")"),168)</f>
        <v>168</v>
      </c>
      <c r="K629" s="342">
        <f t="shared" ca="1" si="129"/>
        <v>93.333333333333329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1">
        <f ca="1">IFERROR(__xludf.DUMMYFUNCTION("IMPORTRANGE(""https://docs.google.com/spreadsheets/d/1XL5vhW3sbDhbH9Cz0tuDiY8C3ctxq1tqvaCgkFb8cCA/edit?usp=sharing"",""กาฬสินธุ์!J525"")"),2272320.59)</f>
        <v>2272320.59</v>
      </c>
      <c r="K630" s="342">
        <f t="shared" ca="1" si="129"/>
        <v>17.008274269692631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IFERROR(__xludf.DUMMYFUNCTION("IMPORTRANGE(""https://docs.google.com/spreadsheets/d/1XL5vhW3sbDhbH9Cz0tuDiY8C3ctxq1tqvaCgkFb8cCA/edit?usp=sharing"",""กาฬสินธุ์!I526"")"),620)</f>
        <v>620</v>
      </c>
      <c r="J631" s="341">
        <f ca="1">IFERROR(__xludf.DUMMYFUNCTION("IMPORTRANGE(""https://docs.google.com/spreadsheets/d/1XL5vhW3sbDhbH9Cz0tuDiY8C3ctxq1tqvaCgkFb8cCA/edit?usp=sharing"",""กาฬสินธุ์!J526"")"),224)</f>
        <v>224</v>
      </c>
      <c r="K631" s="342">
        <f t="shared" ca="1" si="129"/>
        <v>36.12903225806452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1">
        <f ca="1">IFERROR(__xludf.DUMMYFUNCTION("IMPORTRANGE(""https://docs.google.com/spreadsheets/d/1XL5vhW3sbDhbH9Cz0tuDiY8C3ctxq1tqvaCgkFb8cCA/edit?usp=sharing"",""กาฬสินธุ์!J527"")"),140487.8)</f>
        <v>140487.79999999999</v>
      </c>
      <c r="K632" s="342">
        <f t="shared" ca="1" si="129"/>
        <v>5.2216560233137557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IFERROR(__xludf.DUMMYFUNCTION("IMPORTRANGE(""https://docs.google.com/spreadsheets/d/1XL5vhW3sbDhbH9Cz0tuDiY8C3ctxq1tqvaCgkFb8cCA/edit?usp=sharing"",""กาฬสินธุ์!I528"")"),139)</f>
        <v>139</v>
      </c>
      <c r="J633" s="341">
        <f ca="1">IFERROR(__xludf.DUMMYFUNCTION("IMPORTRANGE(""https://docs.google.com/spreadsheets/d/1XL5vhW3sbDhbH9Cz0tuDiY8C3ctxq1tqvaCgkFb8cCA/edit?usp=sharing"",""กาฬสินธุ์!J528"")"),94)</f>
        <v>94</v>
      </c>
      <c r="K633" s="342">
        <f t="shared" ca="1" si="129"/>
        <v>67.625899280575538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IFERROR(__xludf.DUMMYFUNCTION("IMPORTRANGE(""https://docs.google.com/spreadsheets/d/1XL5vhW3sbDhbH9Cz0tuDiY8C3ctxq1tqvaCgkFb8cCA/edit?usp=sharing"",""กาฬสินธุ์!I529"")"),6950000)</f>
        <v>6950000</v>
      </c>
      <c r="J634" s="341">
        <f ca="1">IFERROR(__xludf.DUMMYFUNCTION("IMPORTRANGE(""https://docs.google.com/spreadsheets/d/1XL5vhW3sbDhbH9Cz0tuDiY8C3ctxq1tqvaCgkFb8cCA/edit?usp=sharing"",""กาฬสินธุ์!J529"")"),6415000)</f>
        <v>6415000</v>
      </c>
      <c r="K634" s="342">
        <f t="shared" ca="1" si="129"/>
        <v>92.302158273381295</v>
      </c>
      <c r="L634" s="342"/>
      <c r="M634" s="342"/>
      <c r="N634" s="342"/>
      <c r="O634" s="169"/>
      <c r="P634" s="169"/>
    </row>
    <row r="635" spans="1:16" ht="21.75" customHeight="1" x14ac:dyDescent="0.25">
      <c r="A635" s="552"/>
      <c r="B635" s="553"/>
      <c r="C635" s="553"/>
      <c r="D635" s="554"/>
      <c r="E635" s="555"/>
      <c r="F635" s="555"/>
      <c r="G635" s="556"/>
      <c r="H635" s="503" t="s">
        <v>37</v>
      </c>
      <c r="I635" s="504">
        <f ca="1">IFERROR(__xludf.DUMMYFUNCTION("IMPORTRANGE(""https://docs.google.com/spreadsheets/d/1XL5vhW3sbDhbH9Cz0tuDiY8C3ctxq1tqvaCgkFb8cCA/edit?usp=sharing"",""กาฬสินธุ์!I530"")"),196)</f>
        <v>196</v>
      </c>
      <c r="J635" s="504">
        <f ca="1">IFERROR(__xludf.DUMMYFUNCTION("IMPORTRANGE(""https://docs.google.com/spreadsheets/d/1XL5vhW3sbDhbH9Cz0tuDiY8C3ctxq1tqvaCgkFb8cCA/edit?usp=sharing"",""กาฬสินธุ์!J530"")"),136)</f>
        <v>136</v>
      </c>
      <c r="K635" s="486">
        <f t="shared" ca="1" si="129"/>
        <v>69.387755102040813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960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0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2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960</v>
      </c>
      <c r="M638" s="570"/>
      <c r="N638" s="571">
        <f ca="1">SUM(N639:N640)</f>
        <v>0</v>
      </c>
      <c r="O638" s="571">
        <f t="shared" ca="1" si="130"/>
        <v>0</v>
      </c>
      <c r="P638" s="52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2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960</v>
      </c>
      <c r="M640" s="570"/>
      <c r="N640" s="571">
        <f ca="1">SUM(N641:N644)</f>
        <v>0</v>
      </c>
      <c r="O640" s="571">
        <f t="shared" ca="1" si="130"/>
        <v>0</v>
      </c>
      <c r="P640" s="52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2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2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2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2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1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IFERROR(__xludf.DUMMYFUNCTION("IMPORTRANGE(""https://docs.google.com/spreadsheets/d/1XL5vhW3sbDhbH9Cz0tuDiY8C3ctxq1tqvaCgkFb8cCA/edit#gid=346597447"",""กาฬสินธุ์!J541"")"),0)</f>
        <v>0</v>
      </c>
      <c r="K646" s="568"/>
      <c r="L646" s="570"/>
      <c r="M646" s="570"/>
      <c r="N646" s="582"/>
      <c r="O646" s="568"/>
      <c r="P646" s="51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IFERROR(__xludf.DUMMYFUNCTION("IMPORTRANGE(""https://docs.google.com/spreadsheets/d/1XL5vhW3sbDhbH9Cz0tuDiY8C3ctxq1tqvaCgkFb8cCA/edit#gid=346597447"",""กาฬสินธุ์!J542"")"),0)</f>
        <v>0</v>
      </c>
      <c r="K647" s="568"/>
      <c r="L647" s="570"/>
      <c r="M647" s="570"/>
      <c r="N647" s="570"/>
      <c r="O647" s="568"/>
      <c r="P647" s="51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IFERROR(__xludf.DUMMYFUNCTION("IMPORTRANGE(""https://docs.google.com/spreadsheets/d/1XL5vhW3sbDhbH9Cz0tuDiY8C3ctxq1tqvaCgkFb8cCA/edit#gid=346597447"",""กาฬสินธุ์!I543"")"),0)</f>
        <v>0</v>
      </c>
      <c r="J648" s="585">
        <f ca="1">IFERROR(__xludf.DUMMYFUNCTION("IMPORTRANGE(""https://docs.google.com/spreadsheets/d/1XL5vhW3sbDhbH9Cz0tuDiY8C3ctxq1tqvaCgkFb8cCA/edit#gid=346597447"",""กาฬสินธุ์!J543"")"),0)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IFERROR(__xludf.DUMMYFUNCTION("IMPORTRANGE(""https://docs.google.com/spreadsheets/d/1XL5vhW3sbDhbH9Cz0tuDiY8C3ctxq1tqvaCgkFb8cCA/edit#gid=346597447"",""กาฬสินธุ์!L543"")"),0)</f>
        <v>0</v>
      </c>
      <c r="M648" s="570"/>
      <c r="N648" s="587">
        <f ca="1">IFERROR(__xludf.DUMMYFUNCTION("IMPORTRANGE(""https://docs.google.com/spreadsheets/d/1XL5vhW3sbDhbH9Cz0tuDiY8C3ctxq1tqvaCgkFb8cCA/edit#gid=346597447"",""กาฬสินธุ์!M543"")"),0)</f>
        <v>0</v>
      </c>
      <c r="O648" s="586">
        <f t="shared" ref="O648:O651" ca="1" si="132">IF(L648&gt;0,N648*100/L648,0)</f>
        <v>0</v>
      </c>
      <c r="P648" s="534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IFERROR(__xludf.DUMMYFUNCTION("IMPORTRANGE(""https://docs.google.com/spreadsheets/d/1XL5vhW3sbDhbH9Cz0tuDiY8C3ctxq1tqvaCgkFb8cCA/edit#gid=346597447"",""กาฬสินธุ์!I544"")"),5)</f>
        <v>5</v>
      </c>
      <c r="J649" s="585">
        <f ca="1">IFERROR(__xludf.DUMMYFUNCTION("IMPORTRANGE(""https://docs.google.com/spreadsheets/d/1XL5vhW3sbDhbH9Cz0tuDiY8C3ctxq1tqvaCgkFb8cCA/edit#gid=346597447"",""กาฬสินธุ์!J544"")"),0)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IFERROR(__xludf.DUMMYFUNCTION("IMPORTRANGE(""https://docs.google.com/spreadsheets/d/1XL5vhW3sbDhbH9Cz0tuDiY8C3ctxq1tqvaCgkFb8cCA/edit#gid=346597447"",""กาฬสินธุ์!L544"")"),600)</f>
        <v>600</v>
      </c>
      <c r="M649" s="570"/>
      <c r="N649" s="588">
        <v>0</v>
      </c>
      <c r="O649" s="586">
        <f t="shared" ca="1" si="132"/>
        <v>0</v>
      </c>
      <c r="P649" s="534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IFERROR(__xludf.DUMMYFUNCTION("IMPORTRANGE(""https://docs.google.com/spreadsheets/d/1XL5vhW3sbDhbH9Cz0tuDiY8C3ctxq1tqvaCgkFb8cCA/edit#gid=346597447"",""กาฬสินธุ์!I545"")"),0)</f>
        <v>0</v>
      </c>
      <c r="J650" s="585">
        <f ca="1">IFERROR(__xludf.DUMMYFUNCTION("IMPORTRANGE(""https://docs.google.com/spreadsheets/d/1XL5vhW3sbDhbH9Cz0tuDiY8C3ctxq1tqvaCgkFb8cCA/edit#gid=346597447"",""กาฬสินธุ์!J545"")"),0)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IFERROR(__xludf.DUMMYFUNCTION("IMPORTRANGE(""https://docs.google.com/spreadsheets/d/1XL5vhW3sbDhbH9Cz0tuDiY8C3ctxq1tqvaCgkFb8cCA/edit#gid=346597447"",""กาฬสินธุ์!L545"")"),0)</f>
        <v>0</v>
      </c>
      <c r="M650" s="570"/>
      <c r="N650" s="587">
        <f ca="1">IFERROR(__xludf.DUMMYFUNCTION("IMPORTRANGE(""https://docs.google.com/spreadsheets/d/1XL5vhW3sbDhbH9Cz0tuDiY8C3ctxq1tqvaCgkFb8cCA/edit#gid=346597447"",""กาฬสินธุ์!M545"")"),0)</f>
        <v>0</v>
      </c>
      <c r="O650" s="586">
        <f t="shared" ca="1" si="132"/>
        <v>0</v>
      </c>
      <c r="P650" s="534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IFERROR(__xludf.DUMMYFUNCTION("IMPORTRANGE(""https://docs.google.com/spreadsheets/d/1XL5vhW3sbDhbH9Cz0tuDiY8C3ctxq1tqvaCgkFb8cCA/edit#gid=346597447"",""กาฬสินธุ์!I546"")"),0)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IFERROR(__xludf.DUMMYFUNCTION("IMPORTRANGE(""https://docs.google.com/spreadsheets/d/1XL5vhW3sbDhbH9Cz0tuDiY8C3ctxq1tqvaCgkFb8cCA/edit#gid=346597447"",""กาฬสินธุ์!L546"")"),0)</f>
        <v>0</v>
      </c>
      <c r="M651" s="570"/>
      <c r="N651" s="587">
        <f ca="1">IFERROR(__xludf.DUMMYFUNCTION("IMPORTRANGE(""https://docs.google.com/spreadsheets/d/1XL5vhW3sbDhbH9Cz0tuDiY8C3ctxq1tqvaCgkFb8cCA/edit#gid=346597447"",""กาฬสินธุ์!M546"")"),0)</f>
        <v>0</v>
      </c>
      <c r="O651" s="586">
        <f t="shared" ca="1" si="132"/>
        <v>0</v>
      </c>
      <c r="P651" s="534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IFERROR(__xludf.DUMMYFUNCTION("IMPORTRANGE(""https://docs.google.com/spreadsheets/d/1XL5vhW3sbDhbH9Cz0tuDiY8C3ctxq1tqvaCgkFb8cCA/edit#gid=346597447"",""กาฬสินธุ์!J547"")"),0)</f>
        <v>0</v>
      </c>
      <c r="K652" s="586"/>
      <c r="L652" s="570"/>
      <c r="M652" s="570"/>
      <c r="N652" s="570"/>
      <c r="O652" s="568"/>
      <c r="P652" s="51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IFERROR(__xludf.DUMMYFUNCTION("IMPORTRANGE(""https://docs.google.com/spreadsheets/d/1XL5vhW3sbDhbH9Cz0tuDiY8C3ctxq1tqvaCgkFb8cCA/edit#gid=346597447"",""กาฬสินธุ์!J548"")"),0)</f>
        <v>0</v>
      </c>
      <c r="K653" s="586"/>
      <c r="L653" s="570"/>
      <c r="M653" s="570"/>
      <c r="N653" s="570"/>
      <c r="O653" s="568"/>
      <c r="P653" s="51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1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IFERROR(__xludf.DUMMYFUNCTION("IMPORTRANGE(""https://docs.google.com/spreadsheets/d/1XL5vhW3sbDhbH9Cz0tuDiY8C3ctxq1tqvaCgkFb8cCA/edit#gid=346597447"",""กาฬสินธุ์!J550"")"),0)</f>
        <v>0</v>
      </c>
      <c r="K655" s="586"/>
      <c r="L655" s="570"/>
      <c r="M655" s="570"/>
      <c r="N655" s="570"/>
      <c r="O655" s="568"/>
      <c r="P655" s="51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IFERROR(__xludf.DUMMYFUNCTION("IMPORTRANGE(""https://docs.google.com/spreadsheets/d/1XL5vhW3sbDhbH9Cz0tuDiY8C3ctxq1tqvaCgkFb8cCA/edit#gid=346597447"",""กาฬสินธุ์!J551"")"),0)</f>
        <v>0</v>
      </c>
      <c r="K656" s="586"/>
      <c r="L656" s="570"/>
      <c r="M656" s="570"/>
      <c r="N656" s="570"/>
      <c r="O656" s="568"/>
      <c r="P656" s="51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IFERROR(__xludf.DUMMYFUNCTION("IMPORTRANGE(""https://docs.google.com/spreadsheets/d/1XL5vhW3sbDhbH9Cz0tuDiY8C3ctxq1tqvaCgkFb8cCA/edit#gid=346597447"",""กาฬสินธุ์!J552"")"),0)</f>
        <v>0</v>
      </c>
      <c r="K657" s="586"/>
      <c r="L657" s="570"/>
      <c r="M657" s="570"/>
      <c r="N657" s="570"/>
      <c r="O657" s="568"/>
      <c r="P657" s="51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IFERROR(__xludf.DUMMYFUNCTION("IMPORTRANGE(""https://docs.google.com/spreadsheets/d/1XL5vhW3sbDhbH9Cz0tuDiY8C3ctxq1tqvaCgkFb8cCA/edit#gid=346597447"",""กาฬสินธุ์!J553"")"),0)</f>
        <v>0</v>
      </c>
      <c r="K658" s="586"/>
      <c r="L658" s="570"/>
      <c r="M658" s="570"/>
      <c r="N658" s="570"/>
      <c r="O658" s="568"/>
      <c r="P658" s="51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IFERROR(__xludf.DUMMYFUNCTION("IMPORTRANGE(""https://docs.google.com/spreadsheets/d/1XL5vhW3sbDhbH9Cz0tuDiY8C3ctxq1tqvaCgkFb8cCA/edit#gid=346597447"",""กาฬสินธุ์!J554"")"),0)</f>
        <v>0</v>
      </c>
      <c r="K659" s="586"/>
      <c r="L659" s="570"/>
      <c r="M659" s="570"/>
      <c r="N659" s="570"/>
      <c r="O659" s="568"/>
      <c r="P659" s="51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IFERROR(__xludf.DUMMYFUNCTION("IMPORTRANGE(""https://docs.google.com/spreadsheets/d/1XL5vhW3sbDhbH9Cz0tuDiY8C3ctxq1tqvaCgkFb8cCA/edit#gid=346597447"",""กาฬสินธุ์!J555"")"),0)</f>
        <v>0</v>
      </c>
      <c r="K660" s="586"/>
      <c r="L660" s="570"/>
      <c r="M660" s="570"/>
      <c r="N660" s="570"/>
      <c r="O660" s="568"/>
      <c r="P660" s="51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IFERROR(__xludf.DUMMYFUNCTION("IMPORTRANGE(""https://docs.google.com/spreadsheets/d/1XL5vhW3sbDhbH9Cz0tuDiY8C3ctxq1tqvaCgkFb8cCA/edit#gid=346597447"",""กาฬสินธุ์!J556"")"),0)</f>
        <v>0</v>
      </c>
      <c r="K661" s="586"/>
      <c r="L661" s="571">
        <f ca="1">IFERROR(__xludf.DUMMYFUNCTION("IMPORTRANGE(""https://docs.google.com/spreadsheets/d/1XL5vhW3sbDhbH9Cz0tuDiY8C3ctxq1tqvaCgkFb8cCA/edit#gid=346597447"",""กาฬสินธุ์!L556"")"),0)</f>
        <v>0</v>
      </c>
      <c r="M661" s="570"/>
      <c r="N661" s="587">
        <f ca="1">IFERROR(__xludf.DUMMYFUNCTION("IMPORTRANGE(""https://docs.google.com/spreadsheets/d/1XL5vhW3sbDhbH9Cz0tuDiY8C3ctxq1tqvaCgkFb8cCA/edit#gid=346597447"",""กาฬสินธุ์!M556"")"),0)</f>
        <v>0</v>
      </c>
      <c r="O661" s="586">
        <f ca="1">IF(L661&gt;0,N661*100/L661,0)</f>
        <v>0</v>
      </c>
      <c r="P661" s="534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IFERROR(__xludf.DUMMYFUNCTION("IMPORTRANGE(""https://docs.google.com/spreadsheets/d/1XL5vhW3sbDhbH9Cz0tuDiY8C3ctxq1tqvaCgkFb8cCA/edit#gid=346597447"",""กาฬสินธุ์!J557"")"),0)</f>
        <v>0</v>
      </c>
      <c r="K662" s="586"/>
      <c r="L662" s="570"/>
      <c r="M662" s="570"/>
      <c r="N662" s="570"/>
      <c r="O662" s="568"/>
      <c r="P662" s="51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IFERROR(__xludf.DUMMYFUNCTION("IMPORTRANGE(""https://docs.google.com/spreadsheets/d/1XL5vhW3sbDhbH9Cz0tuDiY8C3ctxq1tqvaCgkFb8cCA/edit#gid=346597447"",""กาฬสินธุ์!I558"")"),0)</f>
        <v>0</v>
      </c>
      <c r="J663" s="585">
        <f ca="1">IFERROR(__xludf.DUMMYFUNCTION("IMPORTRANGE(""https://docs.google.com/spreadsheets/d/1XL5vhW3sbDhbH9Cz0tuDiY8C3ctxq1tqvaCgkFb8cCA/edit#gid=346597447"",""กาฬสินธุ์!J558"")"),0)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1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1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IFERROR(__xludf.DUMMYFUNCTION("IMPORTRANGE(""https://docs.google.com/spreadsheets/d/1XL5vhW3sbDhbH9Cz0tuDiY8C3ctxq1tqvaCgkFb8cCA/edit#gid=346597447"",""กาฬสินธุ์!I560"")"),3)</f>
        <v>3</v>
      </c>
      <c r="J665" s="585">
        <f ca="1">IFERROR(__xludf.DUMMYFUNCTION("IMPORTRANGE(""https://docs.google.com/spreadsheets/d/1XL5vhW3sbDhbH9Cz0tuDiY8C3ctxq1tqvaCgkFb8cCA/edit#gid=346597447"",""กาฬสินธุ์!J560"")"),0)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IFERROR(__xludf.DUMMYFUNCTION("IMPORTRANGE(""https://docs.google.com/spreadsheets/d/1XL5vhW3sbDhbH9Cz0tuDiY8C3ctxq1tqvaCgkFb8cCA/edit#gid=346597447"",""กาฬสินธุ์!L560"")"),360)</f>
        <v>360</v>
      </c>
      <c r="M665" s="570"/>
      <c r="N665" s="587">
        <f ca="1">IFERROR(__xludf.DUMMYFUNCTION("IMPORTRANGE(""https://docs.google.com/spreadsheets/d/1XL5vhW3sbDhbH9Cz0tuDiY8C3ctxq1tqvaCgkFb8cCA/edit#gid=346597447"",""กาฬสินธุ์!M560"")"),0)</f>
        <v>0</v>
      </c>
      <c r="O665" s="586">
        <f ca="1">IF(L665&gt;0,N665*100/L665,0)</f>
        <v>0</v>
      </c>
      <c r="P665" s="534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IFERROR(__xludf.DUMMYFUNCTION("IMPORTRANGE(""https://docs.google.com/spreadsheets/d/1XL5vhW3sbDhbH9Cz0tuDiY8C3ctxq1tqvaCgkFb8cCA/edit#gid=346597447"",""กาฬสินธุ์!J561"")"),0)</f>
        <v>0</v>
      </c>
      <c r="K666" s="586"/>
      <c r="L666" s="570"/>
      <c r="M666" s="570"/>
      <c r="N666" s="570"/>
      <c r="O666" s="568"/>
      <c r="P666" s="51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IFERROR(__xludf.DUMMYFUNCTION("IMPORTRANGE(""https://docs.google.com/spreadsheets/d/1XL5vhW3sbDhbH9Cz0tuDiY8C3ctxq1tqvaCgkFb8cCA/edit#gid=346597447"",""กาฬสินธุ์!J562"")"),0)</f>
        <v>0</v>
      </c>
      <c r="K667" s="586"/>
      <c r="L667" s="570"/>
      <c r="M667" s="570"/>
      <c r="N667" s="570"/>
      <c r="O667" s="568"/>
      <c r="P667" s="51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IFERROR(__xludf.DUMMYFUNCTION("IMPORTRANGE(""https://docs.google.com/spreadsheets/d/1XL5vhW3sbDhbH9Cz0tuDiY8C3ctxq1tqvaCgkFb8cCA/edit#gid=346597447"",""กาฬสินธุ์!I563"")"),0)</f>
        <v>0</v>
      </c>
      <c r="J668" s="585">
        <f ca="1">IFERROR(__xludf.DUMMYFUNCTION("IMPORTRANGE(""https://docs.google.com/spreadsheets/d/1XL5vhW3sbDhbH9Cz0tuDiY8C3ctxq1tqvaCgkFb8cCA/edit#gid=346597447"",""กาฬสินธุ์!J563"")"),0)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IFERROR(__xludf.DUMMYFUNCTION("IMPORTRANGE(""https://docs.google.com/spreadsheets/d/1XL5vhW3sbDhbH9Cz0tuDiY8C3ctxq1tqvaCgkFb8cCA/edit#gid=346597447"",""กาฬสินธุ์!L563"")"),0)</f>
        <v>0</v>
      </c>
      <c r="M668" s="570"/>
      <c r="N668" s="587">
        <f ca="1">IFERROR(__xludf.DUMMYFUNCTION("IMPORTRANGE(""https://docs.google.com/spreadsheets/d/1XL5vhW3sbDhbH9Cz0tuDiY8C3ctxq1tqvaCgkFb8cCA/edit#gid=346597447"",""กาฬสินธุ์!M563"")"),0)</f>
        <v>0</v>
      </c>
      <c r="O668" s="586">
        <f ca="1">IF(L668&gt;0,N668*100/L668,0)</f>
        <v>0</v>
      </c>
      <c r="P668" s="534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IFERROR(__xludf.DUMMYFUNCTION("IMPORTRANGE(""https://docs.google.com/spreadsheets/d/1XL5vhW3sbDhbH9Cz0tuDiY8C3ctxq1tqvaCgkFb8cCA/edit#gid=346597447"",""กาฬสินธุ์!J564"")"),0)</f>
        <v>0</v>
      </c>
      <c r="K669" s="586"/>
      <c r="L669" s="570"/>
      <c r="M669" s="570"/>
      <c r="N669" s="570"/>
      <c r="O669" s="568"/>
      <c r="P669" s="51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IFERROR(__xludf.DUMMYFUNCTION("IMPORTRANGE(""https://docs.google.com/spreadsheets/d/1XL5vhW3sbDhbH9Cz0tuDiY8C3ctxq1tqvaCgkFb8cCA/edit#gid=346597447"",""กาฬสินธุ์!J565"")"),0)</f>
        <v>0</v>
      </c>
      <c r="K670" s="586"/>
      <c r="L670" s="570"/>
      <c r="M670" s="570"/>
      <c r="N670" s="570"/>
      <c r="O670" s="568"/>
      <c r="P670" s="51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IFERROR(__xludf.DUMMYFUNCTION("IMPORTRANGE(""https://docs.google.com/spreadsheets/d/1XL5vhW3sbDhbH9Cz0tuDiY8C3ctxq1tqvaCgkFb8cCA/edit#gid=346597447"",""กาฬสินธุ์!I566"")"),0)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IFERROR(__xludf.DUMMYFUNCTION("IMPORTRANGE(""https://docs.google.com/spreadsheets/d/1XL5vhW3sbDhbH9Cz0tuDiY8C3ctxq1tqvaCgkFb8cCA/edit#gid=346597447"",""กาฬสินธุ์!L566"")"),0)</f>
        <v>0</v>
      </c>
      <c r="M671" s="570"/>
      <c r="N671" s="587">
        <f ca="1">IFERROR(__xludf.DUMMYFUNCTION("IMPORTRANGE(""https://docs.google.com/spreadsheets/d/1XL5vhW3sbDhbH9Cz0tuDiY8C3ctxq1tqvaCgkFb8cCA/edit#gid=346597447"",""กาฬสินธุ์!M566"")"),0)</f>
        <v>0</v>
      </c>
      <c r="O671" s="586">
        <f ca="1">IF(L671&gt;0,N671*100/L671,0)</f>
        <v>0</v>
      </c>
      <c r="P671" s="534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IFERROR(__xludf.DUMMYFUNCTION("IMPORTRANGE(""https://docs.google.com/spreadsheets/d/1XL5vhW3sbDhbH9Cz0tuDiY8C3ctxq1tqvaCgkFb8cCA/edit#gid=346597447"",""กาฬสินธุ์!J567"")"),0)</f>
        <v>0</v>
      </c>
      <c r="K672" s="586"/>
      <c r="L672" s="570"/>
      <c r="M672" s="570"/>
      <c r="N672" s="570"/>
      <c r="O672" s="568"/>
      <c r="P672" s="51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IFERROR(__xludf.DUMMYFUNCTION("IMPORTRANGE(""https://docs.google.com/spreadsheets/d/1XL5vhW3sbDhbH9Cz0tuDiY8C3ctxq1tqvaCgkFb8cCA/edit#gid=346597447"",""กาฬสินธุ์!J568"")"),0)</f>
        <v>0</v>
      </c>
      <c r="K673" s="586"/>
      <c r="L673" s="570"/>
      <c r="M673" s="570"/>
      <c r="N673" s="570"/>
      <c r="O673" s="568"/>
      <c r="P673" s="51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IFERROR(__xludf.DUMMYFUNCTION("IMPORTRANGE(""https://docs.google.com/spreadsheets/d/1XL5vhW3sbDhbH9Cz0tuDiY8C3ctxq1tqvaCgkFb8cCA/edit#gid=346597447"",""กาฬสินธุ์!J569"")"),0)</f>
        <v>0</v>
      </c>
      <c r="K674" s="586"/>
      <c r="L674" s="570"/>
      <c r="M674" s="570"/>
      <c r="N674" s="570"/>
      <c r="O674" s="568"/>
      <c r="P674" s="51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IFERROR(__xludf.DUMMYFUNCTION("IMPORTRANGE(""https://docs.google.com/spreadsheets/d/1XL5vhW3sbDhbH9Cz0tuDiY8C3ctxq1tqvaCgkFb8cCA/edit#gid=346597447"",""กาฬสินธุ์!J570"")"),0)</f>
        <v>0</v>
      </c>
      <c r="K675" s="586"/>
      <c r="L675" s="570"/>
      <c r="M675" s="570"/>
      <c r="N675" s="570"/>
      <c r="O675" s="568"/>
      <c r="P675" s="51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IFERROR(__xludf.DUMMYFUNCTION("IMPORTRANGE(""https://docs.google.com/spreadsheets/d/1XL5vhW3sbDhbH9Cz0tuDiY8C3ctxq1tqvaCgkFb8cCA/edit#gid=346597447"",""กาฬสินธุ์!J571"")"),0)</f>
        <v>0</v>
      </c>
      <c r="K676" s="586"/>
      <c r="L676" s="570"/>
      <c r="M676" s="570"/>
      <c r="N676" s="570"/>
      <c r="O676" s="568"/>
      <c r="P676" s="51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IFERROR(__xludf.DUMMYFUNCTION("IMPORTRANGE(""https://docs.google.com/spreadsheets/d/1XL5vhW3sbDhbH9Cz0tuDiY8C3ctxq1tqvaCgkFb8cCA/edit#gid=346597447"",""กาฬสินธุ์!J572"")"),0)</f>
        <v>0</v>
      </c>
      <c r="K677" s="598"/>
      <c r="L677" s="599"/>
      <c r="M677" s="599"/>
      <c r="N677" s="599"/>
      <c r="O677" s="598"/>
      <c r="P677" s="545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3" sqref="G1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6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296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8502261</v>
      </c>
      <c r="M8" s="23">
        <f t="shared" ca="1" si="0"/>
        <v>4165085.74</v>
      </c>
      <c r="N8" s="23">
        <f t="shared" ca="1" si="0"/>
        <v>4716165.5999999996</v>
      </c>
      <c r="O8" s="22">
        <f t="shared" ref="O8:O16" ca="1" si="1">IF(L8&gt;0,N8*100/L8,0)</f>
        <v>55.469546277160859</v>
      </c>
      <c r="P8" s="22">
        <f t="shared" ref="P8:P16" ca="1" si="2">IF(M8&gt;0,N8*100/M8,0)</f>
        <v>113.23093675377734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8502261</v>
      </c>
      <c r="M10" s="30">
        <f t="shared" ca="1" si="4"/>
        <v>4165085.74</v>
      </c>
      <c r="N10" s="30">
        <f t="shared" ca="1" si="4"/>
        <v>4716165.5999999996</v>
      </c>
      <c r="O10" s="29">
        <f t="shared" ca="1" si="1"/>
        <v>55.469546277160859</v>
      </c>
      <c r="P10" s="29">
        <f t="shared" ca="1" si="2"/>
        <v>113.23093675377734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8363261</v>
      </c>
      <c r="M12" s="38">
        <f t="shared" ca="1" si="6"/>
        <v>4026085.74</v>
      </c>
      <c r="N12" s="38">
        <f t="shared" ca="1" si="6"/>
        <v>4577165.5999999996</v>
      </c>
      <c r="O12" s="38">
        <f t="shared" ca="1" si="1"/>
        <v>54.729436280895683</v>
      </c>
      <c r="P12" s="38">
        <f t="shared" ca="1" si="2"/>
        <v>113.68773283998664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2254100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6109161</v>
      </c>
      <c r="M14" s="38">
        <f t="shared" si="8"/>
        <v>0</v>
      </c>
      <c r="N14" s="38">
        <f t="shared" ca="1" si="8"/>
        <v>1324039.96</v>
      </c>
      <c r="O14" s="38">
        <f t="shared" ca="1" si="1"/>
        <v>21.673024495507647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5037970</v>
      </c>
      <c r="M18" s="23">
        <f t="shared" ca="1" si="11"/>
        <v>4165085.74</v>
      </c>
      <c r="N18" s="23">
        <f t="shared" ca="1" si="11"/>
        <v>3392125.64</v>
      </c>
      <c r="O18" s="22">
        <f t="shared" ref="O18:O20" ca="1" si="12">IF(L18&gt;0,N18*100/L18,0)</f>
        <v>67.331199669708241</v>
      </c>
      <c r="P18" s="22">
        <f t="shared" ref="P18:P26" ca="1" si="13">IF(M18&gt;0,N18*100/M18,0)</f>
        <v>81.441916247323149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5037970</v>
      </c>
      <c r="M20" s="30">
        <f t="shared" ca="1" si="15"/>
        <v>4165085.74</v>
      </c>
      <c r="N20" s="30">
        <f t="shared" ca="1" si="15"/>
        <v>3392125.64</v>
      </c>
      <c r="O20" s="29">
        <f t="shared" ca="1" si="12"/>
        <v>67.331199669708241</v>
      </c>
      <c r="P20" s="29">
        <f t="shared" ca="1" si="13"/>
        <v>81.441916247323149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4898970</v>
      </c>
      <c r="M22" s="41">
        <f t="shared" ca="1" si="18"/>
        <v>4026085.74</v>
      </c>
      <c r="N22" s="38">
        <f t="shared" ca="1" si="18"/>
        <v>3253125.64</v>
      </c>
      <c r="O22" s="38">
        <f t="shared" ca="1" si="17"/>
        <v>66.404277633869981</v>
      </c>
      <c r="P22" s="38">
        <f t="shared" ca="1" si="13"/>
        <v>80.801201218332722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2254100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2644870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3464291</v>
      </c>
      <c r="M28" s="23">
        <f t="shared" si="23"/>
        <v>0</v>
      </c>
      <c r="N28" s="23">
        <f t="shared" ca="1" si="23"/>
        <v>1324039.96</v>
      </c>
      <c r="O28" s="22">
        <f t="shared" ref="O28:O30" ca="1" si="24">IF(L28&gt;0,N28*100/L28,0)</f>
        <v>38.219651871046629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3464291</v>
      </c>
      <c r="M30" s="30">
        <f t="shared" si="27"/>
        <v>0</v>
      </c>
      <c r="N30" s="30">
        <f t="shared" ca="1" si="27"/>
        <v>1324039.96</v>
      </c>
      <c r="O30" s="29">
        <f t="shared" ca="1" si="24"/>
        <v>38.219651871046629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3464291</v>
      </c>
      <c r="M32" s="38">
        <f t="shared" si="30"/>
        <v>0</v>
      </c>
      <c r="N32" s="38">
        <f t="shared" ca="1" si="30"/>
        <v>1324039.96</v>
      </c>
      <c r="O32" s="38">
        <f t="shared" ca="1" si="29"/>
        <v>38.219651871046629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3464291</v>
      </c>
      <c r="M34" s="38">
        <f t="shared" si="32"/>
        <v>0</v>
      </c>
      <c r="N34" s="38">
        <f t="shared" ca="1" si="32"/>
        <v>1324039.96</v>
      </c>
      <c r="O34" s="38">
        <f t="shared" ca="1" si="29"/>
        <v>38.219651871046629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5037970</v>
      </c>
      <c r="M37" s="54">
        <f t="shared" ca="1" si="33"/>
        <v>4165085.74</v>
      </c>
      <c r="N37" s="54">
        <f t="shared" ca="1" si="33"/>
        <v>3392125.64</v>
      </c>
      <c r="O37" s="55">
        <f t="shared" ca="1" si="29"/>
        <v>67.331199669708241</v>
      </c>
      <c r="P37" s="55">
        <f t="shared" ca="1" si="25"/>
        <v>81.441916247323149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849100</v>
      </c>
      <c r="M41" s="78">
        <f t="shared" ca="1" si="34"/>
        <v>636800</v>
      </c>
      <c r="N41" s="78">
        <f t="shared" ca="1" si="34"/>
        <v>524200.78</v>
      </c>
      <c r="O41" s="77">
        <f t="shared" ref="O41:O43" ca="1" si="35">IF(L41&gt;0,N41*100/L41,0)</f>
        <v>61.736047579790366</v>
      </c>
      <c r="P41" s="77">
        <f t="shared" ref="P41:P43" ca="1" si="36">IF(M41&gt;0,N41*100/M41,0)</f>
        <v>82.317961683417082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849100</v>
      </c>
      <c r="M43" s="78">
        <f t="shared" ca="1" si="38"/>
        <v>636800</v>
      </c>
      <c r="N43" s="78">
        <f t="shared" ca="1" si="38"/>
        <v>524200.78</v>
      </c>
      <c r="O43" s="77">
        <f t="shared" ca="1" si="35"/>
        <v>61.736047579790366</v>
      </c>
      <c r="P43" s="77">
        <f t="shared" ca="1" si="36"/>
        <v>82.317961683417082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849100</v>
      </c>
      <c r="M45" s="622">
        <f ca="1">IFERROR(__xludf.DUMMYFUNCTION("IMPORTRANGE(""https://docs.google.com/spreadsheets/d/1Yj_ptqi66GCucihVvJfMjLAmec39IyEx_6qawtMGysU/edit?usp=sharing"",""สบก!Q56"")"),636800)</f>
        <v>636800</v>
      </c>
      <c r="N45" s="622">
        <f ca="1">IFERROR(__xludf.DUMMYFUNCTION("IMPORTRANGE(""https://docs.google.com/spreadsheets/d/1Yj_ptqi66GCucihVvJfMjLAmec39IyEx_6qawtMGysU/edit?usp=sharing"",""สบก!R56"")"),524200.78)</f>
        <v>524200.78</v>
      </c>
      <c r="O45" s="623">
        <f ca="1">IF(L45&gt;0,N45*100/L45,0)</f>
        <v>61.736047579790366</v>
      </c>
      <c r="P45" s="623">
        <f ca="1">IF(M45&gt;0,N45*100/M45,0)</f>
        <v>82.317961683417082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IFERROR(__xludf.DUMMYFUNCTION("IMPORTRANGE(""https://docs.google.com/spreadsheets/d/1Yj_ptqi66GCucihVvJfMjLAmec39IyEx_6qawtMGysU/edit?usp=sharing"",""สบก!M56"")"),849100)</f>
        <v>849100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IFERROR(__xludf.DUMMYFUNCTION("IMPORTRANGE(""https://docs.google.com/spreadsheets/d/1Yj_ptqi66GCucihVvJfMjLAmec39IyEx_6qawtMGysU/edit?usp=sharing"",""สบก!N56"")"),0)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IFERROR(__xludf.DUMMYFUNCTION("IMPORTRANGE(""https://docs.google.com/spreadsheets/d/1Yj_ptqi66GCucihVvJfMjLAmec39IyEx_6qawtMGysU/edit?usp=sharing"",""สบก!O56"")"),0)</f>
        <v>0</v>
      </c>
      <c r="M49" s="625"/>
      <c r="N49" s="622">
        <f ca="1">IFERROR(__xludf.DUMMYFUNCTION("IMPORTRANGE(""https://docs.google.com/spreadsheets/d/1Yj_ptqi66GCucihVvJfMjLAmec39IyEx_6qawtMGysU/edit?usp=sharing"",""สบก!S56"")"),0)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500770.74</v>
      </c>
      <c r="N53" s="121">
        <f t="shared" ca="1" si="39"/>
        <v>446904</v>
      </c>
      <c r="O53" s="120">
        <f t="shared" ref="O53:O55" ca="1" si="40">IF(L53&gt;0,N53*100/L53,0)</f>
        <v>70.937142857142859</v>
      </c>
      <c r="P53" s="120">
        <f t="shared" ref="P53:P55" ca="1" si="41">IF(M53&gt;0,N53*100/M53,0)</f>
        <v>89.243233340670031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500770.74</v>
      </c>
      <c r="N55" s="121">
        <f t="shared" ca="1" si="43"/>
        <v>446904</v>
      </c>
      <c r="O55" s="120">
        <f t="shared" ca="1" si="40"/>
        <v>70.937142857142859</v>
      </c>
      <c r="P55" s="120">
        <f t="shared" ca="1" si="41"/>
        <v>89.243233340670031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2">
        <f ca="1">IFERROR(__xludf.DUMMYFUNCTION("IMPORTRANGE(""https://docs.google.com/spreadsheets/d/1Yj_ptqi66GCucihVvJfMjLAmec39IyEx_6qawtMGysU/edit?usp=sharing"",""สบก!Z56"")"),500770.74)</f>
        <v>500770.74</v>
      </c>
      <c r="N57" s="622">
        <f ca="1">IFERROR(__xludf.DUMMYFUNCTION("IMPORTRANGE(""https://docs.google.com/spreadsheets/d/1Yj_ptqi66GCucihVvJfMjLAmec39IyEx_6qawtMGysU/edit?usp=sharing"",""สบก!AA56"")"),446904)</f>
        <v>446904</v>
      </c>
      <c r="O57" s="623">
        <f ca="1">IF(L57&gt;0,N57*100/L57,0)</f>
        <v>70.937142857142859</v>
      </c>
      <c r="P57" s="623">
        <f ca="1">IF(M57&gt;0,N57*100/M57,0)</f>
        <v>89.243233340670031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IFERROR(__xludf.DUMMYFUNCTION("IMPORTRANGE(""https://docs.google.com/spreadsheets/d/1Yj_ptqi66GCucihVvJfMjLAmec39IyEx_6qawtMGysU/edit?usp=sharing"",""สบก!V56"")"),630000)</f>
        <v>630000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IFERROR(__xludf.DUMMYFUNCTION("IMPORTRANGE(""https://docs.google.com/spreadsheets/d/1Yj_ptqi66GCucihVvJfMjLAmec39IyEx_6qawtMGysU/edit?usp=sharing"",""สบก!W56"")"),0)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IFERROR(__xludf.DUMMYFUNCTION("IMPORTRANGE(""https://docs.google.com/spreadsheets/d/1Yj_ptqi66GCucihVvJfMjLAmec39IyEx_6qawtMGysU/edit?usp=sharing"",""สบก!X56"")"),0)</f>
        <v>0</v>
      </c>
      <c r="M61" s="625"/>
      <c r="N61" s="622">
        <f ca="1">IFERROR(__xludf.DUMMYFUNCTION("IMPORTRANGE(""https://docs.google.com/spreadsheets/d/1Yj_ptqi66GCucihVvJfMjLAmec39IyEx_6qawtMGysU/edit?usp=sharing"",""สบก!AB56"")"),0)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1059000</v>
      </c>
      <c r="M66" s="152">
        <f t="shared" ca="1" si="45"/>
        <v>869320</v>
      </c>
      <c r="N66" s="152">
        <f t="shared" ca="1" si="45"/>
        <v>647402.42000000004</v>
      </c>
      <c r="O66" s="151">
        <f t="shared" ref="O66:O68" ca="1" si="46">IF(L66&gt;0,N66*100/L66,0)</f>
        <v>61.133372993389997</v>
      </c>
      <c r="P66" s="151">
        <f t="shared" ref="P66:P68" ca="1" si="47">IF(M66&gt;0,N66*100/M66,0)</f>
        <v>74.472279482814159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1059000</v>
      </c>
      <c r="M68" s="157">
        <f t="shared" ca="1" si="49"/>
        <v>869320</v>
      </c>
      <c r="N68" s="157">
        <f t="shared" ca="1" si="49"/>
        <v>647402.42000000004</v>
      </c>
      <c r="O68" s="156">
        <f t="shared" ca="1" si="46"/>
        <v>61.133372993389997</v>
      </c>
      <c r="P68" s="156">
        <f t="shared" ca="1" si="47"/>
        <v>74.472279482814159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1059000</v>
      </c>
      <c r="M70" s="626">
        <f ca="1">IFERROR(__xludf.DUMMYFUNCTION("IMPORTRANGE(""https://docs.google.com/spreadsheets/d/1Yj_ptqi66GCucihVvJfMjLAmec39IyEx_6qawtMGysU/edit?usp=sharing"",""สบก!AI56"")"),869320)</f>
        <v>869320</v>
      </c>
      <c r="N70" s="627">
        <f ca="1">IFERROR(__xludf.DUMMYFUNCTION("IMPORTRANGE(""https://docs.google.com/spreadsheets/d/1Yj_ptqi66GCucihVvJfMjLAmec39IyEx_6qawtMGysU/edit?usp=sharing"",""สบก!AJ56"")"),647402.42)</f>
        <v>647402.42000000004</v>
      </c>
      <c r="O70" s="169">
        <f ca="1">IF(L70&gt;0,N70*100/L70,0)</f>
        <v>61.133372993389997</v>
      </c>
      <c r="P70" s="169">
        <f ca="1">IF(M70&gt;0,N70*100/M70,0)</f>
        <v>74.472279482814159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IFERROR(__xludf.DUMMYFUNCTION("IMPORTRANGE(""https://docs.google.com/spreadsheets/d/1Yj_ptqi66GCucihVvJfMjLAmec39IyEx_6qawtMGysU/edit?usp=sharing"",""สบก!AF56"")"),590000)</f>
        <v>590000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IFERROR(__xludf.DUMMYFUNCTION("IMPORTRANGE(""https://docs.google.com/spreadsheets/d/1Yj_ptqi66GCucihVvJfMjLAmec39IyEx_6qawtMGysU/edit?usp=sharing"",""สบก!AG56"")"),0)</f>
        <v>0</v>
      </c>
      <c r="M74" s="625"/>
      <c r="N74" s="622">
        <f ca="1">IFERROR(__xludf.DUMMYFUNCTION("IMPORTRANGE(""https://docs.google.com/spreadsheets/d/1Yj_ptqi66GCucihVvJfMjLAmec39IyEx_6qawtMGysU/edit?usp=sharing"",""สบก!AK56"")"),0)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IFERROR(__xludf.DUMMYFUNCTION("IMPORTRANGE(""https://docs.google.com/spreadsheets/d/1XL5vhW3sbDhbH9Cz0tuDiY8C3ctxq1tqvaCgkFb8cCA/edit?usp=sharing"",""อุดรธานี!I28"")"),70)</f>
        <v>70</v>
      </c>
      <c r="J88" s="204">
        <f ca="1">IFERROR(__xludf.DUMMYFUNCTION("IMPORTRANGE(""https://docs.google.com/spreadsheets/d/1XL5vhW3sbDhbH9Cz0tuDiY8C3ctxq1tqvaCgkFb8cCA/edit?usp=sharing"",""อุดรธานี!J28"")"),0)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IFERROR(__xludf.DUMMYFUNCTION("IMPORTRANGE(""https://docs.google.com/spreadsheets/d/1XL5vhW3sbDhbH9Cz0tuDiY8C3ctxq1tqvaCgkFb8cCA/edit?usp=sharing"",""อุดรธานี!J30"")"),0)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IFERROR(__xludf.DUMMYFUNCTION("IMPORTRANGE(""https://docs.google.com/spreadsheets/d/1Yj_ptqi66GCucihVvJfMjLAmec39IyEx_6qawtMGysU/edit?usp=sharing"",""สบก!AR56"")"),0)</f>
        <v>0</v>
      </c>
      <c r="N98" s="627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IFERROR(__xludf.DUMMYFUNCTION("IMPORTRANGE(""https://docs.google.com/spreadsheets/d/1Yj_ptqi66GCucihVvJfMjLAmec39IyEx_6qawtMGysU/edit?usp=sharing"",""สบก!AP56"")"),0)</f>
        <v>0</v>
      </c>
      <c r="M102" s="625"/>
      <c r="N102" s="622">
        <f ca="1">IFERROR(__xludf.DUMMYFUNCTION("IMPORTRANGE(""https://docs.google.com/spreadsheets/d/1Yj_ptqi66GCucihVvJfMjLAmec39IyEx_6qawtMGysU/edit?usp=sharing"",""สบก!AT56"")"),0)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IFERROR(__xludf.DUMMYFUNCTION("IMPORTRANGE(""https://docs.google.com/spreadsheets/d/1XL5vhW3sbDhbH9Cz0tuDiY8C3ctxq1tqvaCgkFb8cCA/edit?usp=sharing"",""อุดรธานี!J50"")"),0)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62903</v>
      </c>
      <c r="O118" s="151">
        <f t="shared" ref="O118:O120" ca="1" si="59">IF(L118&gt;0,N118*100/L118,0)</f>
        <v>76.30155264434741</v>
      </c>
      <c r="P118" s="151">
        <f t="shared" ref="P118:P120" ca="1" si="60">IF(M118&gt;0,N118*100/M118,0)</f>
        <v>76.30155264434741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62903</v>
      </c>
      <c r="O120" s="156">
        <f t="shared" ca="1" si="59"/>
        <v>76.30155264434741</v>
      </c>
      <c r="P120" s="156">
        <f t="shared" ca="1" si="60"/>
        <v>76.30155264434741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IFERROR(__xludf.DUMMYFUNCTION("IMPORTRANGE(""https://docs.google.com/spreadsheets/d/1Yj_ptqi66GCucihVvJfMjLAmec39IyEx_6qawtMGysU/edit?usp=sharing"",""สบก!BA56"")"),82440)</f>
        <v>82440</v>
      </c>
      <c r="N122" s="627">
        <f ca="1">IFERROR(__xludf.DUMMYFUNCTION("IMPORTRANGE(""https://docs.google.com/spreadsheets/d/1Yj_ptqi66GCucihVvJfMjLAmec39IyEx_6qawtMGysU/edit?usp=sharing"",""สบก!BB56"")"),62903)</f>
        <v>62903</v>
      </c>
      <c r="O122" s="169">
        <f ca="1">IF(L122&gt;0,N122*100/L122,0)</f>
        <v>76.30155264434741</v>
      </c>
      <c r="P122" s="169">
        <f ca="1">IF(M122&gt;0,N122*100/M122,0)</f>
        <v>76.30155264434741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IFERROR(__xludf.DUMMYFUNCTION("IMPORTRANGE(""https://docs.google.com/spreadsheets/d/1Yj_ptqi66GCucihVvJfMjLAmec39IyEx_6qawtMGysU/edit?usp=sharing"",""สบก!AX56"")"),82440)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IFERROR(__xludf.DUMMYFUNCTION("IMPORTRANGE(""https://docs.google.com/spreadsheets/d/1Yj_ptqi66GCucihVvJfMjLAmec39IyEx_6qawtMGysU/edit?usp=sharing"",""สบก!AY56"")"),0)</f>
        <v>0</v>
      </c>
      <c r="M126" s="625"/>
      <c r="N126" s="622">
        <f ca="1">IFERROR(__xludf.DUMMYFUNCTION("IMPORTRANGE(""https://docs.google.com/spreadsheets/d/1Yj_ptqi66GCucihVvJfMjLAmec39IyEx_6qawtMGysU/edit?usp=sharing"",""สบก!BC56"")"),0)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297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IFERROR(__xludf.DUMMYFUNCTION("IMPORTRANGE(""https://docs.google.com/spreadsheets/d/1XL5vhW3sbDhbH9Cz0tuDiY8C3ctxq1tqvaCgkFb8cCA/edit?usp=sharing"",""อุดรธานี!J65"")"),0)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IFERROR(__xludf.DUMMYFUNCTION("IMPORTRANGE(""https://docs.google.com/spreadsheets/d/1XL5vhW3sbDhbH9Cz0tuDiY8C3ctxq1tqvaCgkFb8cCA/edit?usp=sharing"",""อุดรธานี!I68"")"),0)</f>
        <v>0</v>
      </c>
      <c r="J138" s="267">
        <f ca="1">IFERROR(__xludf.DUMMYFUNCTION("IMPORTRANGE(""https://docs.google.com/spreadsheets/d/1XL5vhW3sbDhbH9Cz0tuDiY8C3ctxq1tqvaCgkFb8cCA/edit?usp=sharing"",""อุดรธานี!J68"")"),0)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102000</v>
      </c>
      <c r="M140" s="152">
        <f t="shared" ca="1" si="64"/>
        <v>100625</v>
      </c>
      <c r="N140" s="152">
        <f t="shared" ca="1" si="64"/>
        <v>82100</v>
      </c>
      <c r="O140" s="151">
        <f t="shared" ref="O140:O142" ca="1" si="65">IF(L140&gt;0,N140*100/L140,0)</f>
        <v>80.490196078431367</v>
      </c>
      <c r="P140" s="151">
        <f t="shared" ref="P140:P142" ca="1" si="66">IF(M140&gt;0,N140*100/M140,0)</f>
        <v>81.590062111801245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102000</v>
      </c>
      <c r="M142" s="157">
        <f t="shared" ca="1" si="68"/>
        <v>100625</v>
      </c>
      <c r="N142" s="157">
        <f t="shared" ca="1" si="68"/>
        <v>82100</v>
      </c>
      <c r="O142" s="156">
        <f t="shared" ca="1" si="65"/>
        <v>80.490196078431367</v>
      </c>
      <c r="P142" s="156">
        <f t="shared" ca="1" si="66"/>
        <v>81.590062111801245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102000</v>
      </c>
      <c r="M144" s="626">
        <f ca="1">IFERROR(__xludf.DUMMYFUNCTION("IMPORTRANGE(""https://docs.google.com/spreadsheets/d/1Yj_ptqi66GCucihVvJfMjLAmec39IyEx_6qawtMGysU/edit?usp=sharing"",""สบก!BJ56"")"),100625)</f>
        <v>100625</v>
      </c>
      <c r="N144" s="627">
        <f ca="1">IFERROR(__xludf.DUMMYFUNCTION("IMPORTRANGE(""https://docs.google.com/spreadsheets/d/1Yj_ptqi66GCucihVvJfMjLAmec39IyEx_6qawtMGysU/edit?usp=sharing"",""สบก!BK56"")"),82100)</f>
        <v>82100</v>
      </c>
      <c r="O144" s="169">
        <f ca="1">IF(L144&gt;0,N144*100/L144,0)</f>
        <v>80.490196078431367</v>
      </c>
      <c r="P144" s="169">
        <f ca="1">IF(M144&gt;0,N144*100/M144,0)</f>
        <v>81.590062111801245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IFERROR(__xludf.DUMMYFUNCTION("IMPORTRANGE(""https://docs.google.com/spreadsheets/d/1Yj_ptqi66GCucihVvJfMjLAmec39IyEx_6qawtMGysU/edit?usp=sharing"",""สบก!BG56"")"),102000)</f>
        <v>102000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IFERROR(__xludf.DUMMYFUNCTION("IMPORTRANGE(""https://docs.google.com/spreadsheets/d/1Yj_ptqi66GCucihVvJfMjLAmec39IyEx_6qawtMGysU/edit?usp=sharing"",""สบก!BH56"")"),0)</f>
        <v>0</v>
      </c>
      <c r="M148" s="625"/>
      <c r="N148" s="622">
        <f ca="1">IFERROR(__xludf.DUMMYFUNCTION("IMPORTRANGE(""https://docs.google.com/spreadsheets/d/1Yj_ptqi66GCucihVvJfMjLAmec39IyEx_6qawtMGysU/edit?usp=sharing"",""สบก!BL56"")"),0)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IFERROR(__xludf.DUMMYFUNCTION("IMPORTRANGE(""https://docs.google.com/spreadsheets/d/1XL5vhW3sbDhbH9Cz0tuDiY8C3ctxq1tqvaCgkFb8cCA/edit?usp=sharing"",""อุดรธานี!I74"")"),4)</f>
        <v>4</v>
      </c>
      <c r="J149" s="275">
        <f ca="1">IFERROR(__xludf.DUMMYFUNCTION("IMPORTRANGE(""https://docs.google.com/spreadsheets/d/1XL5vhW3sbDhbH9Cz0tuDiY8C3ctxq1tqvaCgkFb8cCA/edit?usp=sharing"",""อุดรธานี!J74"")"),2)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IFERROR(__xludf.DUMMYFUNCTION("IMPORTRANGE(""https://docs.google.com/spreadsheets/d/1XL5vhW3sbDhbH9Cz0tuDiY8C3ctxq1tqvaCgkFb8cCA/edit?usp=sharing"",""อุดรธานี!J85"")"),0)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IFERROR(__xludf.DUMMYFUNCTION("IMPORTRANGE(""https://docs.google.com/spreadsheets/d/1XL5vhW3sbDhbH9Cz0tuDiY8C3ctxq1tqvaCgkFb8cCA/edit?usp=sharing"",""อุดรธานี!J86"")"),0)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IFERROR(__xludf.DUMMYFUNCTION("IMPORTRANGE(""https://docs.google.com/spreadsheets/d/1XL5vhW3sbDhbH9Cz0tuDiY8C3ctxq1tqvaCgkFb8cCA/edit?usp=sharing"",""อุดรธานี!J88"")"),0)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IFERROR(__xludf.DUMMYFUNCTION("IMPORTRANGE(""https://docs.google.com/spreadsheets/d/1XL5vhW3sbDhbH9Cz0tuDiY8C3ctxq1tqvaCgkFb8cCA/edit?usp=sharing"",""อุดรธานี!I89"")"),3)</f>
        <v>3</v>
      </c>
      <c r="J164" s="284">
        <f ca="1">IFERROR(__xludf.DUMMYFUNCTION("IMPORTRANGE(""https://docs.google.com/spreadsheets/d/1XL5vhW3sbDhbH9Cz0tuDiY8C3ctxq1tqvaCgkFb8cCA/edit?usp=sharing"",""อุดรธานี!J89"")"),3)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IFERROR(__xludf.DUMMYFUNCTION("IMPORTRANGE(""https://docs.google.com/spreadsheets/d/1XL5vhW3sbDhbH9Cz0tuDiY8C3ctxq1tqvaCgkFb8cCA/edit?usp=sharing"",""อุดรธานี!J100"")"),1)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IFERROR(__xludf.DUMMYFUNCTION("IMPORTRANGE(""https://docs.google.com/spreadsheets/d/1XL5vhW3sbDhbH9Cz0tuDiY8C3ctxq1tqvaCgkFb8cCA/edit?usp=sharing"",""อุดรธานี!I101"")"),3)</f>
        <v>3</v>
      </c>
      <c r="J176" s="284">
        <f ca="1">IFERROR(__xludf.DUMMYFUNCTION("IMPORTRANGE(""https://docs.google.com/spreadsheets/d/1XL5vhW3sbDhbH9Cz0tuDiY8C3ctxq1tqvaCgkFb8cCA/edit?usp=sharing"",""อุดรธานี!J101"")"),3)</f>
        <v>3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IFERROR(__xludf.DUMMYFUNCTION("IMPORTRANGE(""https://docs.google.com/spreadsheets/d/1XL5vhW3sbDhbH9Cz0tuDiY8C3ctxq1tqvaCgkFb8cCA/edit?usp=sharing"",""อุดรธานี!J113"")"),0)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IFERROR(__xludf.DUMMYFUNCTION("IMPORTRANGE(""https://docs.google.com/spreadsheets/d/1XL5vhW3sbDhbH9Cz0tuDiY8C3ctxq1tqvaCgkFb8cCA/edit?usp=sharing"",""อุดรธานี!I114"")"),10000)</f>
        <v>10000</v>
      </c>
      <c r="J189" s="284">
        <f ca="1">IFERROR(__xludf.DUMMYFUNCTION("IMPORTRANGE(""https://docs.google.com/spreadsheets/d/1XL5vhW3sbDhbH9Cz0tuDiY8C3ctxq1tqvaCgkFb8cCA/edit?usp=sharing"",""อุดรธานี!J114"")"),0)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IFERROR(__xludf.DUMMYFUNCTION("IMPORTRANGE(""https://docs.google.com/spreadsheets/d/1XL5vhW3sbDhbH9Cz0tuDiY8C3ctxq1tqvaCgkFb8cCA/edit?usp=sharing"",""อุดรธานี!J128"")"),0)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IFERROR(__xludf.DUMMYFUNCTION("IMPORTRANGE(""https://docs.google.com/spreadsheets/d/1XL5vhW3sbDhbH9Cz0tuDiY8C3ctxq1tqvaCgkFb8cCA/edit?usp=sharing"",""อุดรธานี!I129"")"),0)</f>
        <v>0</v>
      </c>
      <c r="J204" s="284">
        <f ca="1">IFERROR(__xludf.DUMMYFUNCTION("IMPORTRANGE(""https://docs.google.com/spreadsheets/d/1XL5vhW3sbDhbH9Cz0tuDiY8C3ctxq1tqvaCgkFb8cCA/edit?usp=sharing"",""อุดรธานี!J129"")"),0)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IFERROR(__xludf.DUMMYFUNCTION("IMPORTRANGE(""https://docs.google.com/spreadsheets/d/1XL5vhW3sbDhbH9Cz0tuDiY8C3ctxq1tqvaCgkFb8cCA/edit?usp=sharing"",""อุดรธานี!J143"")"),0)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IFERROR(__xludf.DUMMYFUNCTION("IMPORTRANGE(""https://docs.google.com/spreadsheets/d/1XL5vhW3sbDhbH9Cz0tuDiY8C3ctxq1tqvaCgkFb8cCA/edit?usp=sharing"",""อุดรธานี!I144"")"),14)</f>
        <v>14</v>
      </c>
      <c r="J219" s="267">
        <f ca="1">IFERROR(__xludf.DUMMYFUNCTION("IMPORTRANGE(""https://docs.google.com/spreadsheets/d/1XL5vhW3sbDhbH9Cz0tuDiY8C3ctxq1tqvaCgkFb8cCA/edit?usp=sharing"",""อุดรธานี!J144"")"),14)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IFERROR(__xludf.DUMMYFUNCTION("IMPORTRANGE(""https://docs.google.com/spreadsheets/d/1Yj_ptqi66GCucihVvJfMjLAmec39IyEx_6qawtMGysU/edit?usp=sharing"",""สบก!BS56"")"),20210)</f>
        <v>20210</v>
      </c>
      <c r="N224" s="627">
        <f ca="1">IFERROR(__xludf.DUMMYFUNCTION("IMPORTRANGE(""https://docs.google.com/spreadsheets/d/1Yj_ptqi66GCucihVvJfMjLAmec39IyEx_6qawtMGysU/edit?usp=sharing"",""สบก!BT56"")"),20210)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IFERROR(__xludf.DUMMYFUNCTION("IMPORTRANGE(""https://docs.google.com/spreadsheets/d/1Yj_ptqi66GCucihVvJfMjLAmec39IyEx_6qawtMGysU/edit?usp=sharing"",""สบก!BQ56"")"),0)</f>
        <v>0</v>
      </c>
      <c r="M228" s="625"/>
      <c r="N228" s="622">
        <f ca="1">IFERROR(__xludf.DUMMYFUNCTION("IMPORTRANGE(""https://docs.google.com/spreadsheets/d/1Yj_ptqi66GCucihVvJfMjLAmec39IyEx_6qawtMGysU/edit?usp=sharing"",""สบก!BU56"")"),0)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IFERROR(__xludf.DUMMYFUNCTION("IMPORTRANGE(""https://docs.google.com/spreadsheets/d/1XL5vhW3sbDhbH9Cz0tuDiY8C3ctxq1tqvaCgkFb8cCA/edit?usp=sharing"",""อุดรธานี!I149"")"),14)</f>
        <v>14</v>
      </c>
      <c r="J229" s="267">
        <f ca="1">IFERROR(__xludf.DUMMYFUNCTION("IMPORTRANGE(""https://docs.google.com/spreadsheets/d/1XL5vhW3sbDhbH9Cz0tuDiY8C3ctxq1tqvaCgkFb8cCA/edit?usp=sharing"",""อุดรธานี!J149"")"),14)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IFERROR(__xludf.DUMMYFUNCTION("IMPORTRANGE(""https://docs.google.com/spreadsheets/d/1XL5vhW3sbDhbH9Cz0tuDiY8C3ctxq1tqvaCgkFb8cCA/edit?usp=sharing"",""อุดรธานี!J157"")"),1)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IFERROR(__xludf.DUMMYFUNCTION("IMPORTRANGE(""https://docs.google.com/spreadsheets/d/1XL5vhW3sbDhbH9Cz0tuDiY8C3ctxq1tqvaCgkFb8cCA/edit?usp=sharing"",""อุดรธานี!I158"")"),0)</f>
        <v>0</v>
      </c>
      <c r="J238" s="267">
        <f ca="1">IFERROR(__xludf.DUMMYFUNCTION("IMPORTRANGE(""https://docs.google.com/spreadsheets/d/1XL5vhW3sbDhbH9Cz0tuDiY8C3ctxq1tqvaCgkFb8cCA/edit?usp=sharing"",""อุดรธานี!J158"")"),0)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IFERROR(__xludf.DUMMYFUNCTION("IMPORTRANGE(""https://docs.google.com/spreadsheets/d/1XL5vhW3sbDhbH9Cz0tuDiY8C3ctxq1tqvaCgkFb8cCA/edit?usp=sharing"",""อุดรธานี!J166"")"),0)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IFERROR(__xludf.DUMMYFUNCTION("IMPORTRANGE(""https://docs.google.com/spreadsheets/d/1XL5vhW3sbDhbH9Cz0tuDiY8C3ctxq1tqvaCgkFb8cCA/edit?usp=sharing"",""อุดรธานี!I169"")"),20)</f>
        <v>20</v>
      </c>
      <c r="J249" s="316">
        <f ca="1">IFERROR(__xludf.DUMMYFUNCTION("IMPORTRANGE(""https://docs.google.com/spreadsheets/d/1XL5vhW3sbDhbH9Cz0tuDiY8C3ctxq1tqvaCgkFb8cCA/edit?usp=sharing"",""อุดรธานี!J169"")"),20)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41990</v>
      </c>
      <c r="O250" s="151">
        <f t="shared" ref="O250:O252" ca="1" si="78">IF(L250&gt;0,N250*100/L250,0)</f>
        <v>58.80952380952381</v>
      </c>
      <c r="P250" s="151">
        <f t="shared" ref="P250:P252" ca="1" si="79">IF(M250&gt;0,N250*100/M250,0)</f>
        <v>99.976190476190482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41990</v>
      </c>
      <c r="O252" s="156">
        <f t="shared" ca="1" si="78"/>
        <v>58.80952380952381</v>
      </c>
      <c r="P252" s="156">
        <f t="shared" ca="1" si="79"/>
        <v>99.976190476190482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626">
        <f ca="1">IFERROR(__xludf.DUMMYFUNCTION("IMPORTRANGE(""https://docs.google.com/spreadsheets/d/1Yj_ptqi66GCucihVvJfMjLAmec39IyEx_6qawtMGysU/edit?usp=sharing"",""สบก!CB56"")"),42000)</f>
        <v>42000</v>
      </c>
      <c r="N254" s="627">
        <f ca="1">IFERROR(__xludf.DUMMYFUNCTION("IMPORTRANGE(""https://docs.google.com/spreadsheets/d/1Yj_ptqi66GCucihVvJfMjLAmec39IyEx_6qawtMGysU/edit?usp=sharing"",""สบก!CC56"")"),41990)</f>
        <v>41990</v>
      </c>
      <c r="O254" s="169">
        <f ca="1">IF(L254&gt;0,N254*100/L254,0)</f>
        <v>58.80952380952381</v>
      </c>
      <c r="P254" s="169">
        <f ca="1">IF(M254&gt;0,N254*100/M254,0)</f>
        <v>99.976190476190482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IFERROR(__xludf.DUMMYFUNCTION("IMPORTRANGE(""https://docs.google.com/spreadsheets/d/1Yj_ptqi66GCucihVvJfMjLAmec39IyEx_6qawtMGysU/edit?usp=sharing"",""สบก!BZ56"")"),0)</f>
        <v>0</v>
      </c>
      <c r="M258" s="625"/>
      <c r="N258" s="622">
        <f ca="1">IFERROR(__xludf.DUMMYFUNCTION("IMPORTRANGE(""https://docs.google.com/spreadsheets/d/1Yj_ptqi66GCucihVvJfMjLAmec39IyEx_6qawtMGysU/edit?usp=sharing"",""สบก!CD56"")"),0)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IFERROR(__xludf.DUMMYFUNCTION("IMPORTRANGE(""https://docs.google.com/spreadsheets/d/1XL5vhW3sbDhbH9Cz0tuDiY8C3ctxq1tqvaCgkFb8cCA/edit?usp=sharing"",""อุดรธานี!J184"")"),0)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IFERROR(__xludf.DUMMYFUNCTION("IMPORTRANGE(""https://docs.google.com/spreadsheets/d/1XL5vhW3sbDhbH9Cz0tuDiY8C3ctxq1tqvaCgkFb8cCA/edit?usp=sharing"",""อุดรธานี!I185"")"),20)</f>
        <v>20</v>
      </c>
      <c r="J270" s="316">
        <f ca="1">IFERROR(__xludf.DUMMYFUNCTION("IMPORTRANGE(""https://docs.google.com/spreadsheets/d/1XL5vhW3sbDhbH9Cz0tuDiY8C3ctxq1tqvaCgkFb8cCA/edit?usp=sharing"",""อุดรธานี!J185"")"),20)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110273</v>
      </c>
      <c r="O271" s="151">
        <f t="shared" ref="O271:O273" ca="1" si="84">IF(L271&gt;0,N271*100/L271,0)</f>
        <v>60.061546840958606</v>
      </c>
      <c r="P271" s="151">
        <f t="shared" ref="P271:P273" ca="1" si="85">IF(M271&gt;0,N271*100/M271,0)</f>
        <v>68.238242574257427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110273</v>
      </c>
      <c r="O273" s="156">
        <f t="shared" ca="1" si="84"/>
        <v>60.061546840958606</v>
      </c>
      <c r="P273" s="156">
        <f t="shared" ca="1" si="85"/>
        <v>68.238242574257427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6">
        <f ca="1">IFERROR(__xludf.DUMMYFUNCTION("IMPORTRANGE(""https://docs.google.com/spreadsheets/d/1Yj_ptqi66GCucihVvJfMjLAmec39IyEx_6qawtMGysU/edit?usp=sharing"",""สบก!CK56"")"),161600)</f>
        <v>161600</v>
      </c>
      <c r="N275" s="627">
        <f ca="1">IFERROR(__xludf.DUMMYFUNCTION("IMPORTRANGE(""https://docs.google.com/spreadsheets/d/1Yj_ptqi66GCucihVvJfMjLAmec39IyEx_6qawtMGysU/edit?usp=sharing"",""สบก!CL56"")"),110273)</f>
        <v>110273</v>
      </c>
      <c r="O275" s="169">
        <f ca="1">IF(L275&gt;0,N275*100/L275,0)</f>
        <v>60.061546840958606</v>
      </c>
      <c r="P275" s="169">
        <f ca="1">IF(M275&gt;0,N275*100/M275,0)</f>
        <v>68.238242574257427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IFERROR(__xludf.DUMMYFUNCTION("IMPORTRANGE(""https://docs.google.com/spreadsheets/d/1Yj_ptqi66GCucihVvJfMjLAmec39IyEx_6qawtMGysU/edit?usp=sharing"",""สบก!CH56"")"),183600)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IFERROR(__xludf.DUMMYFUNCTION("IMPORTRANGE(""https://docs.google.com/spreadsheets/d/1Yj_ptqi66GCucihVvJfMjLAmec39IyEx_6qawtMGysU/edit?usp=sharing"",""สบก!CI56"")"),0)</f>
        <v>0</v>
      </c>
      <c r="M279" s="625"/>
      <c r="N279" s="622">
        <f ca="1">IFERROR(__xludf.DUMMYFUNCTION("IMPORTRANGE(""https://docs.google.com/spreadsheets/d/1Yj_ptqi66GCucihVvJfMjLAmec39IyEx_6qawtMGysU/edit?usp=sharing"",""สบก!CM56"")"),0)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IFERROR(__xludf.DUMMYFUNCTION("IMPORTRANGE(""https://docs.google.com/spreadsheets/d/1XL5vhW3sbDhbH9Cz0tuDiY8C3ctxq1tqvaCgkFb8cCA/edit?usp=sharing"",""อุดรธานี!J197"")"),0)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IFERROR(__xludf.DUMMYFUNCTION("IMPORTRANGE(""https://docs.google.com/spreadsheets/d/1XL5vhW3sbDhbH9Cz0tuDiY8C3ctxq1tqvaCgkFb8cCA/edit?usp=sharing"",""อุดรธานี!I199"")"),0)</f>
        <v>0</v>
      </c>
      <c r="J289" s="316">
        <f ca="1">IFERROR(__xludf.DUMMYFUNCTION("IMPORTRANGE(""https://docs.google.com/spreadsheets/d/1XL5vhW3sbDhbH9Cz0tuDiY8C3ctxq1tqvaCgkFb8cCA/edit?usp=sharing"",""อุดรธานี!J199"")"),0)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IFERROR(__xludf.DUMMYFUNCTION("IMPORTRANGE(""https://docs.google.com/spreadsheets/d/1Yj_ptqi66GCucihVvJfMjLAmec39IyEx_6qawtMGysU/edit?usp=sharing"",""สบก!CT56"")"),0)</f>
        <v>0</v>
      </c>
      <c r="N294" s="627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IFERROR(__xludf.DUMMYFUNCTION("IMPORTRANGE(""https://docs.google.com/spreadsheets/d/1Yj_ptqi66GCucihVvJfMjLAmec39IyEx_6qawtMGysU/edit?usp=sharing"",""สบก!CR56"")"),0)</f>
        <v>0</v>
      </c>
      <c r="M298" s="625"/>
      <c r="N298" s="622">
        <f ca="1">IFERROR(__xludf.DUMMYFUNCTION("IMPORTRANGE(""https://docs.google.com/spreadsheets/d/1Yj_ptqi66GCucihVvJfMjLAmec39IyEx_6qawtMGysU/edit?usp=sharing"",""สบก!CV56"")"),0)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IFERROR(__xludf.DUMMYFUNCTION("IMPORTRANGE(""https://docs.google.com/spreadsheets/d/1XL5vhW3sbDhbH9Cz0tuDiY8C3ctxq1tqvaCgkFb8cCA/edit?usp=sharing"",""อุดรธานี!J213"")"),0)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IFERROR(__xludf.DUMMYFUNCTION("IMPORTRANGE(""https://docs.google.com/spreadsheets/d/1XL5vhW3sbDhbH9Cz0tuDiY8C3ctxq1tqvaCgkFb8cCA/edit?usp=sharing"",""อุดรธานี!I214"")"),0)</f>
        <v>0</v>
      </c>
      <c r="J309" s="333">
        <f ca="1">IFERROR(__xludf.DUMMYFUNCTION("IMPORTRANGE(""https://docs.google.com/spreadsheets/d/1XL5vhW3sbDhbH9Cz0tuDiY8C3ctxq1tqvaCgkFb8cCA/edit?usp=sharing"",""อุดรธานี!J214"")"),0)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IFERROR(__xludf.DUMMYFUNCTION("IMPORTRANGE(""https://docs.google.com/spreadsheets/d/1Yj_ptqi66GCucihVvJfMjLAmec39IyEx_6qawtMGysU/edit?usp=sharing"",""สบก!DC56"")"),0)</f>
        <v>0</v>
      </c>
      <c r="N314" s="627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IFERROR(__xludf.DUMMYFUNCTION("IMPORTRANGE(""https://docs.google.com/spreadsheets/d/1Yj_ptqi66GCucihVvJfMjLAmec39IyEx_6qawtMGysU/edit?usp=sharing"",""สบก!DA56"")"),0)</f>
        <v>0</v>
      </c>
      <c r="M318" s="625"/>
      <c r="N318" s="622">
        <f ca="1">IFERROR(__xludf.DUMMYFUNCTION("IMPORTRANGE(""https://docs.google.com/spreadsheets/d/1Yj_ptqi66GCucihVvJfMjLAmec39IyEx_6qawtMGysU/edit?usp=sharing"",""สบก!DE56"")"),0)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IFERROR(__xludf.DUMMYFUNCTION("IMPORTRANGE(""https://docs.google.com/spreadsheets/d/1XL5vhW3sbDhbH9Cz0tuDiY8C3ctxq1tqvaCgkFb8cCA/edit?usp=sharing"",""อุดรธานี!J226"")"),0)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IFERROR(__xludf.DUMMYFUNCTION("IMPORTRANGE(""https://docs.google.com/spreadsheets/d/1XL5vhW3sbDhbH9Cz0tuDiY8C3ctxq1tqvaCgkFb8cCA/edit?usp=sharing"",""อุดรธานี!I228"")"),1760)</f>
        <v>1760</v>
      </c>
      <c r="J328" s="339">
        <f ca="1">IFERROR(__xludf.DUMMYFUNCTION("IMPORTRANGE(""https://docs.google.com/spreadsheets/d/1XL5vhW3sbDhbH9Cz0tuDiY8C3ctxq1tqvaCgkFb8cCA/edit?usp=sharing"",""อุดรธานี!J228"")"),658)</f>
        <v>658</v>
      </c>
      <c r="K328" s="317">
        <f ca="1">IF(I328&gt;0,J328*100/I328,0)</f>
        <v>37.386363636363633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2040220</v>
      </c>
      <c r="M329" s="152">
        <f t="shared" ca="1" si="98"/>
        <v>1751320</v>
      </c>
      <c r="N329" s="152">
        <f t="shared" ca="1" si="98"/>
        <v>1456142.44</v>
      </c>
      <c r="O329" s="151">
        <f t="shared" ref="O329:O331" ca="1" si="99">IF(L329&gt;0,N329*100/L329,0)</f>
        <v>71.3718344100146</v>
      </c>
      <c r="P329" s="151">
        <f t="shared" ref="P329:P331" ca="1" si="100">IF(M329&gt;0,N329*100/M329,0)</f>
        <v>83.145424023022628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2040220</v>
      </c>
      <c r="M331" s="157">
        <f t="shared" ca="1" si="102"/>
        <v>1751320</v>
      </c>
      <c r="N331" s="157">
        <f t="shared" ca="1" si="102"/>
        <v>1456142.44</v>
      </c>
      <c r="O331" s="156">
        <f t="shared" ca="1" si="99"/>
        <v>71.3718344100146</v>
      </c>
      <c r="P331" s="156">
        <f t="shared" ca="1" si="100"/>
        <v>83.145424023022628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1901220</v>
      </c>
      <c r="M333" s="626">
        <f ca="1">IFERROR(__xludf.DUMMYFUNCTION("IMPORTRANGE(""https://docs.google.com/spreadsheets/d/1Yj_ptqi66GCucihVvJfMjLAmec39IyEx_6qawtMGysU/edit?usp=sharing"",""สบก!DL56"")"),1612320)</f>
        <v>1612320</v>
      </c>
      <c r="N333" s="627">
        <f ca="1">IFERROR(__xludf.DUMMYFUNCTION("IMPORTRANGE(""https://docs.google.com/spreadsheets/d/1Yj_ptqi66GCucihVvJfMjLAmec39IyEx_6qawtMGysU/edit?usp=sharing"",""สบก!DM56"")"),1317142.44)</f>
        <v>1317142.44</v>
      </c>
      <c r="O333" s="169">
        <f ca="1">IF(L333&gt;0,N333*100/L333,0)</f>
        <v>69.278802032379204</v>
      </c>
      <c r="P333" s="169">
        <f ca="1">IF(M333&gt;0,N333*100/M333,0)</f>
        <v>81.69237124144091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IFERROR(__xludf.DUMMYFUNCTION("IMPORTRANGE(""https://docs.google.com/spreadsheets/d/1Yj_ptqi66GCucihVvJfMjLAmec39IyEx_6qawtMGysU/edit?usp=sharing"",""สบก!DI56"")"),1595220)</f>
        <v>1595220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IFERROR(__xludf.DUMMYFUNCTION("IMPORTRANGE(""https://docs.google.com/spreadsheets/d/1Yj_ptqi66GCucihVvJfMjLAmec39IyEx_6qawtMGysU/edit?usp=sharing"",""สบก!DJ56"")"),139000)</f>
        <v>139000</v>
      </c>
      <c r="M337" s="625">
        <f ca="1">L337</f>
        <v>139000</v>
      </c>
      <c r="N337" s="622">
        <f ca="1">IFERROR(__xludf.DUMMYFUNCTION("IMPORTRANGE(""https://docs.google.com/spreadsheets/d/1Yj_ptqi66GCucihVvJfMjLAmec39IyEx_6qawtMGysU/edit?usp=sharing"",""สบก!DN56"")"),139000)</f>
        <v>139000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IFERROR(__xludf.DUMMYFUNCTION("IMPORTRANGE(""https://docs.google.com/spreadsheets/d/1XL5vhW3sbDhbH9Cz0tuDiY8C3ctxq1tqvaCgkFb8cCA/edit?usp=sharing"",""อุดรธานี!J234"")"),868)</f>
        <v>868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IFERROR(__xludf.DUMMYFUNCTION("IMPORTRANGE(""https://docs.google.com/spreadsheets/d/1XL5vhW3sbDhbH9Cz0tuDiY8C3ctxq1tqvaCgkFb8cCA/edit?usp=sharing"",""อุดรธานี!J235"")"),9089.49)</f>
        <v>9089.49</v>
      </c>
      <c r="K340" s="342">
        <f t="shared" ca="1" si="103"/>
        <v>72.715919999999997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IFERROR(__xludf.DUMMYFUNCTION("IMPORTRANGE(""https://docs.google.com/spreadsheets/d/1XL5vhW3sbDhbH9Cz0tuDiY8C3ctxq1tqvaCgkFb8cCA/edit?usp=sharing"",""อุดรธานี!I236"")"),1760)</f>
        <v>1760</v>
      </c>
      <c r="J341" s="188">
        <f ca="1">IFERROR(__xludf.DUMMYFUNCTION("IMPORTRANGE(""https://docs.google.com/spreadsheets/d/1XL5vhW3sbDhbH9Cz0tuDiY8C3ctxq1tqvaCgkFb8cCA/edit?usp=sharing"",""อุดรธานี!J236"")"),1518)</f>
        <v>1518</v>
      </c>
      <c r="K341" s="342">
        <f t="shared" ca="1" si="103"/>
        <v>86.25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IFERROR(__xludf.DUMMYFUNCTION("IMPORTRANGE(""https://docs.google.com/spreadsheets/d/1XL5vhW3sbDhbH9Cz0tuDiY8C3ctxq1tqvaCgkFb8cCA/edit?usp=sharing"",""อุดรธานี!J237"")"),25374.44)</f>
        <v>25374.44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IFERROR(__xludf.DUMMYFUNCTION("IMPORTRANGE(""https://docs.google.com/spreadsheets/d/1XL5vhW3sbDhbH9Cz0tuDiY8C3ctxq1tqvaCgkFb8cCA/edit?usp=sharing"",""อุดรธานี!I238"")"),1760)</f>
        <v>1760</v>
      </c>
      <c r="J343" s="188">
        <f ca="1">IFERROR(__xludf.DUMMYFUNCTION("IMPORTRANGE(""https://docs.google.com/spreadsheets/d/1XL5vhW3sbDhbH9Cz0tuDiY8C3ctxq1tqvaCgkFb8cCA/edit?usp=sharing"",""อุดรธานี!J238"")"),529)</f>
        <v>529</v>
      </c>
      <c r="K343" s="342">
        <f t="shared" ca="1" si="103"/>
        <v>30.056818181818183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IFERROR(__xludf.DUMMYFUNCTION("IMPORTRANGE(""https://docs.google.com/spreadsheets/d/1XL5vhW3sbDhbH9Cz0tuDiY8C3ctxq1tqvaCgkFb8cCA/edit?usp=sharing"",""อุดรธานี!J239"")"),5980.91)</f>
        <v>5980.91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IFERROR(__xludf.DUMMYFUNCTION("IMPORTRANGE(""https://docs.google.com/spreadsheets/d/1XL5vhW3sbDhbH9Cz0tuDiY8C3ctxq1tqvaCgkFb8cCA/edit?usp=sharing"",""อุดรธานี!I240"")"),1760)</f>
        <v>1760</v>
      </c>
      <c r="J345" s="188">
        <f ca="1">IFERROR(__xludf.DUMMYFUNCTION("IMPORTRANGE(""https://docs.google.com/spreadsheets/d/1XL5vhW3sbDhbH9Cz0tuDiY8C3ctxq1tqvaCgkFb8cCA/edit?usp=sharing"",""อุดรธานี!J240"")"),658)</f>
        <v>658</v>
      </c>
      <c r="K345" s="342">
        <f t="shared" ca="1" si="103"/>
        <v>37.386363636363633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IFERROR(__xludf.DUMMYFUNCTION("IMPORTRANGE(""https://docs.google.com/spreadsheets/d/1XL5vhW3sbDhbH9Cz0tuDiY8C3ctxq1tqvaCgkFb8cCA/edit?usp=sharing"",""อุดรธานี!J241"")"),8138.37)</f>
        <v>8138.37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IFERROR(__xludf.DUMMYFUNCTION("IMPORTRANGE(""https://docs.google.com/spreadsheets/d/1XL5vhW3sbDhbH9Cz0tuDiY8C3ctxq1tqvaCgkFb8cCA/edit?usp=sharing"",""อุดรธานี!L242"")"),3464291)</f>
        <v>3464291</v>
      </c>
      <c r="M347" s="358"/>
      <c r="N347" s="358">
        <f ca="1">IFERROR(__xludf.DUMMYFUNCTION("IMPORTRANGE(""https://docs.google.com/spreadsheets/d/1XL5vhW3sbDhbH9Cz0tuDiY8C3ctxq1tqvaCgkFb8cCA/edit?usp=sharing"",""อุดรธานี!M242"")"),1324039.96)</f>
        <v>1324039.96</v>
      </c>
      <c r="O347" s="358">
        <f ca="1">+IF(L347&gt;0,N347*100/L347,0)</f>
        <v>38.219651871046629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IFERROR(__xludf.DUMMYFUNCTION("IMPORTRANGE(""https://docs.google.com/spreadsheets/d/1XL5vhW3sbDhbH9Cz0tuDiY8C3ctxq1tqvaCgkFb8cCA/edit?usp=sharing"",""อุดรธานี!M244"")"),219973.7)</f>
        <v>219973.7</v>
      </c>
      <c r="O349" s="373">
        <f ca="1">+IF(L349&gt;0,N349*100/L349,0)</f>
        <v>21.840121127879268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IFERROR(__xludf.DUMMYFUNCTION("IMPORTRANGE(""https://docs.google.com/spreadsheets/d/1XL5vhW3sbDhbH9Cz0tuDiY8C3ctxq1tqvaCgkFb8cCA/edit?usp=sharing"",""อุดรธานี!L247"")"),1007200)</f>
        <v>1007200</v>
      </c>
      <c r="M352" s="165"/>
      <c r="N352" s="164">
        <f ca="1">IFERROR(__xludf.DUMMYFUNCTION("IMPORTRANGE(""https://docs.google.com/spreadsheets/d/1XL5vhW3sbDhbH9Cz0tuDiY8C3ctxq1tqvaCgkFb8cCA/edit?usp=sharing"",""อุดรธานี!M247"")"),219973.7)</f>
        <v>219973.7</v>
      </c>
      <c r="O352" s="165">
        <f t="shared" ca="1" si="105"/>
        <v>21.840121127879268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IFERROR(__xludf.DUMMYFUNCTION("IMPORTRANGE(""https://docs.google.com/spreadsheets/d/1XL5vhW3sbDhbH9Cz0tuDiY8C3ctxq1tqvaCgkFb8cCA/edit?usp=sharing"",""อุดรธานี!L249"")"),1007200)</f>
        <v>1007200</v>
      </c>
      <c r="M354" s="169"/>
      <c r="N354" s="168">
        <f ca="1">IFERROR(__xludf.DUMMYFUNCTION("IMPORTRANGE(""https://docs.google.com/spreadsheets/d/1XL5vhW3sbDhbH9Cz0tuDiY8C3ctxq1tqvaCgkFb8cCA/edit?usp=sharing"",""อุดรธานี!M249"")"),219973.7)</f>
        <v>219973.7</v>
      </c>
      <c r="O354" s="169">
        <f t="shared" ca="1" si="105"/>
        <v>21.840121127879268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IFERROR(__xludf.DUMMYFUNCTION("IMPORTRANGE(""https://docs.google.com/spreadsheets/d/1XL5vhW3sbDhbH9Cz0tuDiY8C3ctxq1tqvaCgkFb8cCA/edit?usp=sharing"",""อุดรธานี!M250"")"),137430)</f>
        <v>137430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IFERROR(__xludf.DUMMYFUNCTION("IMPORTRANGE(""https://docs.google.com/spreadsheets/d/1XL5vhW3sbDhbH9Cz0tuDiY8C3ctxq1tqvaCgkFb8cCA/edit?usp=sharing"",""อุดรธานี!M252"")"),70838.7)</f>
        <v>70838.7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IFERROR(__xludf.DUMMYFUNCTION("IMPORTRANGE(""https://docs.google.com/spreadsheets/d/1XL5vhW3sbDhbH9Cz0tuDiY8C3ctxq1tqvaCgkFb8cCA/edit?usp=sharing"",""อุดรธานี!M253"")"),11705)</f>
        <v>11705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IFERROR(__xludf.DUMMYFUNCTION("IMPORTRANGE(""https://docs.google.com/spreadsheets/d/1XL5vhW3sbDhbH9Cz0tuDiY8C3ctxq1tqvaCgkFb8cCA/edit?usp=sharing"",""อุดรธานี!J274"")"),0)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IFERROR(__xludf.DUMMYFUNCTION("IMPORTRANGE(""https://docs.google.com/spreadsheets/d/1XL5vhW3sbDhbH9Cz0tuDiY8C3ctxq1tqvaCgkFb8cCA/edit?usp=sharing"",""อุดรธานี!M275"")"),158531.9)</f>
        <v>158531.9</v>
      </c>
      <c r="O380" s="373">
        <f ca="1">+IF(L380&gt;0,N380*100/L380,0)</f>
        <v>15.413594290825653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IFERROR(__xludf.DUMMYFUNCTION("IMPORTRANGE(""https://docs.google.com/spreadsheets/d/1XL5vhW3sbDhbH9Cz0tuDiY8C3ctxq1tqvaCgkFb8cCA/edit?usp=sharing"",""อุดรธานี!M278"")"),158531.9)</f>
        <v>158531.9</v>
      </c>
      <c r="O383" s="165">
        <f t="shared" ca="1" si="109"/>
        <v>15.413594290825653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IFERROR(__xludf.DUMMYFUNCTION("IMPORTRANGE(""https://docs.google.com/spreadsheets/d/1XL5vhW3sbDhbH9Cz0tuDiY8C3ctxq1tqvaCgkFb8cCA/edit?usp=sharing"",""อุดรธานี!M280"")"),158531.9)</f>
        <v>158531.9</v>
      </c>
      <c r="O385" s="169">
        <f t="shared" ca="1" si="109"/>
        <v>15.413594290825653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IFERROR(__xludf.DUMMYFUNCTION("IMPORTRANGE(""https://docs.google.com/spreadsheets/d/1XL5vhW3sbDhbH9Cz0tuDiY8C3ctxq1tqvaCgkFb8cCA/edit?usp=sharing"",""อุดรธานี!M281"")"),84111)</f>
        <v>84111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IFERROR(__xludf.DUMMYFUNCTION("IMPORTRANGE(""https://docs.google.com/spreadsheets/d/1XL5vhW3sbDhbH9Cz0tuDiY8C3ctxq1tqvaCgkFb8cCA/edit?usp=sharing"",""อุดรธานี!M283"")"),63756.9)</f>
        <v>63756.9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IFERROR(__xludf.DUMMYFUNCTION("IMPORTRANGE(""https://docs.google.com/spreadsheets/d/1XL5vhW3sbDhbH9Cz0tuDiY8C3ctxq1tqvaCgkFb8cCA/edit?usp=sharing"",""อุดรธานี!M284"")"),10664)</f>
        <v>10664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IFERROR(__xludf.DUMMYFUNCTION("IMPORTRANGE(""https://docs.google.com/spreadsheets/d/1XL5vhW3sbDhbH9Cz0tuDiY8C3ctxq1tqvaCgkFb8cCA/edit?usp=sharing"",""อุดรธานี!J295"")"),0)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IFERROR(__xludf.DUMMYFUNCTION("IMPORTRANGE(""https://docs.google.com/spreadsheets/d/1XL5vhW3sbDhbH9Cz0tuDiY8C3ctxq1tqvaCgkFb8cCA/edit?usp=sharing"",""อุดรธานี!M296"")"),161596)</f>
        <v>161596</v>
      </c>
      <c r="O401" s="373">
        <f ca="1">+IF(L401&gt;0,N401*100/L401,0)</f>
        <v>82.489025012761616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IFERROR(__xludf.DUMMYFUNCTION("IMPORTRANGE(""https://docs.google.com/spreadsheets/d/1XL5vhW3sbDhbH9Cz0tuDiY8C3ctxq1tqvaCgkFb8cCA/edit?usp=sharing"",""อุดรธานี!M299"")"),161596)</f>
        <v>161596</v>
      </c>
      <c r="O404" s="169">
        <f t="shared" ca="1" si="112"/>
        <v>82.489025012761616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IFERROR(__xludf.DUMMYFUNCTION("IMPORTRANGE(""https://docs.google.com/spreadsheets/d/1XL5vhW3sbDhbH9Cz0tuDiY8C3ctxq1tqvaCgkFb8cCA/edit?usp=sharing"",""อุดรธานี!M301"")"),161596)</f>
        <v>161596</v>
      </c>
      <c r="O406" s="169">
        <f t="shared" ca="1" si="112"/>
        <v>82.489025012761616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IFERROR(__xludf.DUMMYFUNCTION("IMPORTRANGE(""https://docs.google.com/spreadsheets/d/1XL5vhW3sbDhbH9Cz0tuDiY8C3ctxq1tqvaCgkFb8cCA/edit?usp=sharing"",""อุดรธานี!M302"")"),104376)</f>
        <v>104376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IFERROR(__xludf.DUMMYFUNCTION("IMPORTRANGE(""https://docs.google.com/spreadsheets/d/1XL5vhW3sbDhbH9Cz0tuDiY8C3ctxq1tqvaCgkFb8cCA/edit?usp=sharing"",""อุดรธานี!M305"")"),15620)</f>
        <v>15620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IFERROR(__xludf.DUMMYFUNCTION("IMPORTRANGE(""https://docs.google.com/spreadsheets/d/1XL5vhW3sbDhbH9Cz0tuDiY8C3ctxq1tqvaCgkFb8cCA/edit?usp=sharing"",""อุดรธานี!J329"")"),0)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IFERROR(__xludf.DUMMYFUNCTION("IMPORTRANGE(""https://docs.google.com/spreadsheets/d/1XL5vhW3sbDhbH9Cz0tuDiY8C3ctxq1tqvaCgkFb8cCA/edit?usp=sharing"",""อุดรธานี!M330"")"),80627)</f>
        <v>80627</v>
      </c>
      <c r="O435" s="412">
        <f t="shared" ref="O435:O439" ca="1" si="114">+IF(L435&gt;0,N435*100/L435,0)</f>
        <v>80.626999999999995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IFERROR(__xludf.DUMMYFUNCTION("IMPORTRANGE(""https://docs.google.com/spreadsheets/d/1XL5vhW3sbDhbH9Cz0tuDiY8C3ctxq1tqvaCgkFb8cCA/edit?usp=sharing"",""อุดรธานี!M332"")"),80627)</f>
        <v>80627</v>
      </c>
      <c r="O437" s="169">
        <f t="shared" ca="1" si="114"/>
        <v>80.626999999999995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IFERROR(__xludf.DUMMYFUNCTION("IMPORTRANGE(""https://docs.google.com/spreadsheets/d/1XL5vhW3sbDhbH9Cz0tuDiY8C3ctxq1tqvaCgkFb8cCA/edit?usp=sharing"",""อุดรธานี!M334"")"),80627)</f>
        <v>80627</v>
      </c>
      <c r="O439" s="169">
        <f t="shared" ca="1" si="114"/>
        <v>80.626999999999995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IFERROR(__xludf.DUMMYFUNCTION("IMPORTRANGE(""https://docs.google.com/spreadsheets/d/1XL5vhW3sbDhbH9Cz0tuDiY8C3ctxq1tqvaCgkFb8cCA/edit?usp=sharing"",""อุดรธานี!M338"")"),39337)</f>
        <v>39337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IFERROR(__xludf.DUMMYFUNCTION("IMPORTRANGE(""https://docs.google.com/spreadsheets/d/1XL5vhW3sbDhbH9Cz0tuDiY8C3ctxq1tqvaCgkFb8cCA/edit?usp=sharing"",""อุดรธานี!J349"")"),0)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IFERROR(__xludf.DUMMYFUNCTION("IMPORTRANGE(""https://docs.google.com/spreadsheets/d/1XL5vhW3sbDhbH9Cz0tuDiY8C3ctxq1tqvaCgkFb8cCA/edit?usp=sharing"",""อุดรธานี!J350"")"),29791)</f>
        <v>29791</v>
      </c>
      <c r="K455" s="372">
        <f ca="1">IF(I455&gt;0,J455*100/I455,0)</f>
        <v>94.764131437478127</v>
      </c>
      <c r="L455" s="373">
        <f ca="1">IFERROR(__xludf.DUMMYFUNCTION("IMPORTRANGE(""https://docs.google.com/spreadsheets/d/1XL5vhW3sbDhbH9Cz0tuDiY8C3ctxq1tqvaCgkFb8cCA/edit?usp=sharing"",""อุดรธานี!L350"")"),424851)</f>
        <v>424851</v>
      </c>
      <c r="M455" s="373"/>
      <c r="N455" s="373">
        <f ca="1">IFERROR(__xludf.DUMMYFUNCTION("IMPORTRANGE(""https://docs.google.com/spreadsheets/d/1XL5vhW3sbDhbH9Cz0tuDiY8C3ctxq1tqvaCgkFb8cCA/edit?usp=sharing"",""อุดรธานี!M350"")"),141972)</f>
        <v>141972</v>
      </c>
      <c r="O455" s="373">
        <f t="shared" ref="O455:O459" ca="1" si="116">+IF(L455&gt;0,N455*100/L455,0)</f>
        <v>33.416892039797482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IFERROR(__xludf.DUMMYFUNCTION("IMPORTRANGE(""https://docs.google.com/spreadsheets/d/1XL5vhW3sbDhbH9Cz0tuDiY8C3ctxq1tqvaCgkFb8cCA/edit?usp=sharing"",""อุดรธานี!L352"")"),424851)</f>
        <v>424851</v>
      </c>
      <c r="M457" s="165"/>
      <c r="N457" s="169">
        <f ca="1">IFERROR(__xludf.DUMMYFUNCTION("IMPORTRANGE(""https://docs.google.com/spreadsheets/d/1XL5vhW3sbDhbH9Cz0tuDiY8C3ctxq1tqvaCgkFb8cCA/edit?usp=sharing"",""อุดรธานี!M352"")"),141972)</f>
        <v>141972</v>
      </c>
      <c r="O457" s="169">
        <f t="shared" ca="1" si="116"/>
        <v>33.416892039797482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IFERROR(__xludf.DUMMYFUNCTION("IMPORTRANGE(""https://docs.google.com/spreadsheets/d/1XL5vhW3sbDhbH9Cz0tuDiY8C3ctxq1tqvaCgkFb8cCA/edit?usp=sharing"",""อุดรธานี!L354"")"),424851)</f>
        <v>424851</v>
      </c>
      <c r="M459" s="169"/>
      <c r="N459" s="169">
        <f ca="1">IFERROR(__xludf.DUMMYFUNCTION("IMPORTRANGE(""https://docs.google.com/spreadsheets/d/1XL5vhW3sbDhbH9Cz0tuDiY8C3ctxq1tqvaCgkFb8cCA/edit?usp=sharing"",""อุดรธานี!M354"")"),141972)</f>
        <v>141972</v>
      </c>
      <c r="O459" s="169">
        <f t="shared" ca="1" si="116"/>
        <v>33.416892039797482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IFERROR(__xludf.DUMMYFUNCTION("IMPORTRANGE(""https://docs.google.com/spreadsheets/d/1XL5vhW3sbDhbH9Cz0tuDiY8C3ctxq1tqvaCgkFb8cCA/edit?usp=sharing"",""อุดรธานี!M358"")"),141972)</f>
        <v>141972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IFERROR(__xludf.DUMMYFUNCTION("IMPORTRANGE(""https://docs.google.com/spreadsheets/d/1XL5vhW3sbDhbH9Cz0tuDiY8C3ctxq1tqvaCgkFb8cCA/edit?usp=sharing"",""อุดรธานี!I359"")"),31437)</f>
        <v>31437</v>
      </c>
      <c r="J464" s="267">
        <f ca="1">IFERROR(__xludf.DUMMYFUNCTION("IMPORTRANGE(""https://docs.google.com/spreadsheets/d/1XL5vhW3sbDhbH9Cz0tuDiY8C3ctxq1tqvaCgkFb8cCA/edit?usp=sharing"",""อุดรธานี!J359"")"),29791)</f>
        <v>29791</v>
      </c>
      <c r="K464" s="268">
        <f t="shared" ref="K464:K515" ca="1" si="117">IF(I464&gt;0,J464*100/I464,0)</f>
        <v>94.764131437478127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IFERROR(__xludf.DUMMYFUNCTION("IMPORTRANGE(""https://docs.google.com/spreadsheets/d/1XL5vhW3sbDhbH9Cz0tuDiY8C3ctxq1tqvaCgkFb8cCA/edit?usp=sharing"",""อุดรธานี!J376"")"),29791)</f>
        <v>29791</v>
      </c>
      <c r="K481" s="202">
        <f t="shared" ca="1" si="117"/>
        <v>94.764131437478127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IFERROR(__xludf.DUMMYFUNCTION("IMPORTRANGE(""https://docs.google.com/spreadsheets/d/1XL5vhW3sbDhbH9Cz0tuDiY8C3ctxq1tqvaCgkFb8cCA/edit?usp=sharing"",""อุดรธานี!J377"")"),2336)</f>
        <v>2336</v>
      </c>
      <c r="K482" s="163">
        <f t="shared" ca="1" si="117"/>
        <v>95.816242821985227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IFERROR(__xludf.DUMMYFUNCTION("IMPORTRANGE(""https://docs.google.com/spreadsheets/d/1XL5vhW3sbDhbH9Cz0tuDiY8C3ctxq1tqvaCgkFb8cCA/edit?usp=sharing"",""อุดรธานี!J378"")"),28368)</f>
        <v>28368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IFERROR(__xludf.DUMMYFUNCTION("IMPORTRANGE(""https://docs.google.com/spreadsheets/d/1XL5vhW3sbDhbH9Cz0tuDiY8C3ctxq1tqvaCgkFb8cCA/edit?usp=sharing"",""อุดรธานี!J379"")"),2245)</f>
        <v>2245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IFERROR(__xludf.DUMMYFUNCTION("IMPORTRANGE(""https://docs.google.com/spreadsheets/d/1XL5vhW3sbDhbH9Cz0tuDiY8C3ctxq1tqvaCgkFb8cCA/edit?usp=sharing"",""อุดรธานี!J382"")"),1423)</f>
        <v>1423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IFERROR(__xludf.DUMMYFUNCTION("IMPORTRANGE(""https://docs.google.com/spreadsheets/d/1XL5vhW3sbDhbH9Cz0tuDiY8C3ctxq1tqvaCgkFb8cCA/edit?usp=sharing"",""อุดรธานี!J383"")"),91)</f>
        <v>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IFERROR(__xludf.DUMMYFUNCTION("IMPORTRANGE(""https://docs.google.com/spreadsheets/d/1XL5vhW3sbDhbH9Cz0tuDiY8C3ctxq1tqvaCgkFb8cCA/edit?usp=sharing"",""อุดรธานี!J384"")"),1423)</f>
        <v>1423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IFERROR(__xludf.DUMMYFUNCTION("IMPORTRANGE(""https://docs.google.com/spreadsheets/d/1XL5vhW3sbDhbH9Cz0tuDiY8C3ctxq1tqvaCgkFb8cCA/edit?usp=sharing"",""อุดรธานี!J385"")"),91)</f>
        <v>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IFERROR(__xludf.DUMMYFUNCTION("IMPORTRANGE(""https://docs.google.com/spreadsheets/d/1XL5vhW3sbDhbH9Cz0tuDiY8C3ctxq1tqvaCgkFb8cCA/edit?usp=sharing"",""อุดรธานี!I411"")"),0)</f>
        <v>0</v>
      </c>
      <c r="J516" s="267">
        <f ca="1">IFERROR(__xludf.DUMMYFUNCTION("IMPORTRANGE(""https://docs.google.com/spreadsheets/d/1XL5vhW3sbDhbH9Cz0tuDiY8C3ctxq1tqvaCgkFb8cCA/edit?usp=sharing"",""อุดรธานี!J411"")"),0)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IFERROR(__xludf.DUMMYFUNCTION("IMPORTRANGE(""https://docs.google.com/spreadsheets/d/1XL5vhW3sbDhbH9Cz0tuDiY8C3ctxq1tqvaCgkFb8cCA/edit?usp=sharing"",""อุดรธานี!I412"")"),0)</f>
        <v>0</v>
      </c>
      <c r="J517" s="284">
        <f ca="1">IFERROR(__xludf.DUMMYFUNCTION("IMPORTRANGE(""https://docs.google.com/spreadsheets/d/1XL5vhW3sbDhbH9Cz0tuDiY8C3ctxq1tqvaCgkFb8cCA/edit?usp=sharing"",""อุดรธานี!J412"")"),0)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IFERROR(__xludf.DUMMYFUNCTION("IMPORTRANGE(""https://docs.google.com/spreadsheets/d/1XL5vhW3sbDhbH9Cz0tuDiY8C3ctxq1tqvaCgkFb8cCA/edit?usp=sharing"",""อุดรธานี!I413"")"),0)</f>
        <v>0</v>
      </c>
      <c r="J518" s="284">
        <f ca="1">IFERROR(__xludf.DUMMYFUNCTION("IMPORTRANGE(""https://docs.google.com/spreadsheets/d/1XL5vhW3sbDhbH9Cz0tuDiY8C3ctxq1tqvaCgkFb8cCA/edit?usp=sharing"",""อุดรธานี!J413"")"),0)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IFERROR(__xludf.DUMMYFUNCTION("IMPORTRANGE(""https://docs.google.com/spreadsheets/d/1XL5vhW3sbDhbH9Cz0tuDiY8C3ctxq1tqvaCgkFb8cCA/edit?usp=sharing"",""อุดรธานี!I420"")"),0)</f>
        <v>0</v>
      </c>
      <c r="J525" s="284">
        <f ca="1">IFERROR(__xludf.DUMMYFUNCTION("IMPORTRANGE(""https://docs.google.com/spreadsheets/d/1XL5vhW3sbDhbH9Cz0tuDiY8C3ctxq1tqvaCgkFb8cCA/edit?usp=sharing"",""อุดรธานี!J420"")"),0)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IFERROR(__xludf.DUMMYFUNCTION("IMPORTRANGE(""https://docs.google.com/spreadsheets/d/1XL5vhW3sbDhbH9Cz0tuDiY8C3ctxq1tqvaCgkFb8cCA/edit?usp=sharing"",""อุดรธานี!I421"")"),0)</f>
        <v>0</v>
      </c>
      <c r="J526" s="284">
        <f ca="1">IFERROR(__xludf.DUMMYFUNCTION("IMPORTRANGE(""https://docs.google.com/spreadsheets/d/1XL5vhW3sbDhbH9Cz0tuDiY8C3ctxq1tqvaCgkFb8cCA/edit?usp=sharing"",""อุดรธานี!J421"")"),0)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IFERROR(__xludf.DUMMYFUNCTION("IMPORTRANGE(""https://docs.google.com/spreadsheets/d/1XL5vhW3sbDhbH9Cz0tuDiY8C3ctxq1tqvaCgkFb8cCA/edit?usp=sharing"",""อุดรธานี!M428"")"),29609)</f>
        <v>29609</v>
      </c>
      <c r="O533" s="412">
        <f t="shared" ref="O533:O537" ca="1" si="118">+IF(L533&gt;0,N533*100/L533,0)</f>
        <v>80.262943887232311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IFERROR(__xludf.DUMMYFUNCTION("IMPORTRANGE(""https://docs.google.com/spreadsheets/d/1XL5vhW3sbDhbH9Cz0tuDiY8C3ctxq1tqvaCgkFb8cCA/edit?usp=sharing"",""อุดรธานี!L430"")"),36890)</f>
        <v>36890</v>
      </c>
      <c r="M535" s="165"/>
      <c r="N535" s="169">
        <f ca="1">IFERROR(__xludf.DUMMYFUNCTION("IMPORTRANGE(""https://docs.google.com/spreadsheets/d/1XL5vhW3sbDhbH9Cz0tuDiY8C3ctxq1tqvaCgkFb8cCA/edit?usp=sharing"",""อุดรธานี!M430"")"),29609)</f>
        <v>29609</v>
      </c>
      <c r="O535" s="169">
        <f t="shared" ca="1" si="118"/>
        <v>80.262943887232311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IFERROR(__xludf.DUMMYFUNCTION("IMPORTRANGE(""https://docs.google.com/spreadsheets/d/1XL5vhW3sbDhbH9Cz0tuDiY8C3ctxq1tqvaCgkFb8cCA/edit?usp=sharing"",""อุดรธานี!L432"")"),36890)</f>
        <v>36890</v>
      </c>
      <c r="M537" s="169"/>
      <c r="N537" s="169">
        <f ca="1">IFERROR(__xludf.DUMMYFUNCTION("IMPORTRANGE(""https://docs.google.com/spreadsheets/d/1XL5vhW3sbDhbH9Cz0tuDiY8C3ctxq1tqvaCgkFb8cCA/edit?usp=sharing"",""อุดรธานี!M432"")"),29609)</f>
        <v>29609</v>
      </c>
      <c r="O537" s="169">
        <f t="shared" ca="1" si="118"/>
        <v>80.262943887232311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IFERROR(__xludf.DUMMYFUNCTION("IMPORTRANGE(""https://docs.google.com/spreadsheets/d/1XL5vhW3sbDhbH9Cz0tuDiY8C3ctxq1tqvaCgkFb8cCA/edit?usp=sharing"",""อุดรธานี!M436"")"),11264)</f>
        <v>11264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IFERROR(__xludf.DUMMYFUNCTION("IMPORTRANGE(""https://docs.google.com/spreadsheets/d/1XL5vhW3sbDhbH9Cz0tuDiY8C3ctxq1tqvaCgkFb8cCA/edit?usp=sharing"",""อุดรธานี!J459"")"),12690)</f>
        <v>12690</v>
      </c>
      <c r="K564" s="372">
        <f ca="1">IF(I564&gt;0,J564*100/I564,0)</f>
        <v>244.03846153846155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IFERROR(__xludf.DUMMYFUNCTION("IMPORTRANGE(""https://docs.google.com/spreadsheets/d/1XL5vhW3sbDhbH9Cz0tuDiY8C3ctxq1tqvaCgkFb8cCA/edit?usp=sharing"",""อุดรธานี!M459"")"),124946.04)</f>
        <v>124946.04</v>
      </c>
      <c r="O564" s="373">
        <f t="shared" ref="O564:O568" ca="1" si="122">+IF(L564&gt;0,N564*100/L564,0)</f>
        <v>72.306736111111107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IFERROR(__xludf.DUMMYFUNCTION("IMPORTRANGE(""https://docs.google.com/spreadsheets/d/1XL5vhW3sbDhbH9Cz0tuDiY8C3ctxq1tqvaCgkFb8cCA/edit?usp=sharing"",""อุดรธานี!M461"")"),124946.04)</f>
        <v>124946.04</v>
      </c>
      <c r="O566" s="169">
        <f t="shared" ca="1" si="122"/>
        <v>72.306736111111107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IFERROR(__xludf.DUMMYFUNCTION("IMPORTRANGE(""https://docs.google.com/spreadsheets/d/1XL5vhW3sbDhbH9Cz0tuDiY8C3ctxq1tqvaCgkFb8cCA/edit?usp=sharing"",""อุดรธานี!M463"")"),124946.04)</f>
        <v>124946.04</v>
      </c>
      <c r="O568" s="169">
        <f t="shared" ca="1" si="122"/>
        <v>72.306736111111107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IFERROR(__xludf.DUMMYFUNCTION("IMPORTRANGE(""https://docs.google.com/spreadsheets/d/1XL5vhW3sbDhbH9Cz0tuDiY8C3ctxq1tqvaCgkFb8cCA/edit?usp=sharing"",""อุดรธานี!M466"")"),64580.64)</f>
        <v>64580.639999999999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IFERROR(__xludf.DUMMYFUNCTION("IMPORTRANGE(""https://docs.google.com/spreadsheets/d/1XL5vhW3sbDhbH9Cz0tuDiY8C3ctxq1tqvaCgkFb8cCA/edit?usp=sharing"",""อุดรธานี!M467"")"),60365.4)</f>
        <v>60365.4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IFERROR(__xludf.DUMMYFUNCTION("IMPORTRANGE(""https://docs.google.com/spreadsheets/d/1XL5vhW3sbDhbH9Cz0tuDiY8C3ctxq1tqvaCgkFb8cCA/edit?usp=sharing"",""อุดรธานี!J468"")"),12690)</f>
        <v>12690</v>
      </c>
      <c r="K573" s="202">
        <f ca="1">IF(I573&gt;0,J573*100/I573,0)</f>
        <v>244.03846153846155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IFERROR(__xludf.DUMMYFUNCTION("IMPORTRANGE(""https://docs.google.com/spreadsheets/d/1XL5vhW3sbDhbH9Cz0tuDiY8C3ctxq1tqvaCgkFb8cCA/edit?usp=sharing"",""อุดรธานี!J471"")"),449)</f>
        <v>449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IFERROR(__xludf.DUMMYFUNCTION("IMPORTRANGE(""https://docs.google.com/spreadsheets/d/1XL5vhW3sbDhbH9Cz0tuDiY8C3ctxq1tqvaCgkFb8cCA/edit?usp=sharing"",""อุดรธานี!J472"")"),12241)</f>
        <v>12241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IFERROR(__xludf.DUMMYFUNCTION("IMPORTRANGE(""https://docs.google.com/spreadsheets/d/1XL5vhW3sbDhbH9Cz0tuDiY8C3ctxq1tqvaCgkFb8cCA/edit?usp=sharing"",""อุดรธานี!J475"")"),1)</f>
        <v>1</v>
      </c>
      <c r="K580" s="372">
        <f ca="1">IF(I580&gt;0,J580*100/I580,0)</f>
        <v>0.26315789473684209</v>
      </c>
      <c r="L580" s="373">
        <f ca="1">IFERROR(__xludf.DUMMYFUNCTION("IMPORTRANGE(""https://docs.google.com/spreadsheets/d/1XL5vhW3sbDhbH9Cz0tuDiY8C3ctxq1tqvaCgkFb8cCA/edit?usp=sharing"",""อุดรธานี!L475"")"),493580)</f>
        <v>493580</v>
      </c>
      <c r="M580" s="373"/>
      <c r="N580" s="373">
        <f ca="1">IFERROR(__xludf.DUMMYFUNCTION("IMPORTRANGE(""https://docs.google.com/spreadsheets/d/1XL5vhW3sbDhbH9Cz0tuDiY8C3ctxq1tqvaCgkFb8cCA/edit?usp=sharing"",""อุดรธานี!M475"")"),406004.32)</f>
        <v>406004.32</v>
      </c>
      <c r="O580" s="373">
        <f t="shared" ref="O580:O584" ca="1" si="124">+IF(L580&gt;0,N580*100/L580,0)</f>
        <v>82.2570444507476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IFERROR(__xludf.DUMMYFUNCTION("IMPORTRANGE(""https://docs.google.com/spreadsheets/d/1XL5vhW3sbDhbH9Cz0tuDiY8C3ctxq1tqvaCgkFb8cCA/edit?usp=sharing"",""อุดรธานี!L477"")"),493580)</f>
        <v>493580</v>
      </c>
      <c r="M582" s="165"/>
      <c r="N582" s="169">
        <f ca="1">IFERROR(__xludf.DUMMYFUNCTION("IMPORTRANGE(""https://docs.google.com/spreadsheets/d/1XL5vhW3sbDhbH9Cz0tuDiY8C3ctxq1tqvaCgkFb8cCA/edit?usp=sharing"",""อุดรธานี!M477"")"),406004.32)</f>
        <v>406004.32</v>
      </c>
      <c r="O582" s="169">
        <f t="shared" ca="1" si="124"/>
        <v>82.2570444507476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IFERROR(__xludf.DUMMYFUNCTION("IMPORTRANGE(""https://docs.google.com/spreadsheets/d/1XL5vhW3sbDhbH9Cz0tuDiY8C3ctxq1tqvaCgkFb8cCA/edit?usp=sharing"",""อุดรธานี!L479"")"),493580)</f>
        <v>493580</v>
      </c>
      <c r="M584" s="169"/>
      <c r="N584" s="169">
        <f ca="1">IFERROR(__xludf.DUMMYFUNCTION("IMPORTRANGE(""https://docs.google.com/spreadsheets/d/1XL5vhW3sbDhbH9Cz0tuDiY8C3ctxq1tqvaCgkFb8cCA/edit?usp=sharing"",""อุดรธานี!M479"")"),406004.32)</f>
        <v>406004.32</v>
      </c>
      <c r="O584" s="169">
        <f t="shared" ca="1" si="124"/>
        <v>82.2570444507476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IFERROR(__xludf.DUMMYFUNCTION("IMPORTRANGE(""https://docs.google.com/spreadsheets/d/1XL5vhW3sbDhbH9Cz0tuDiY8C3ctxq1tqvaCgkFb8cCA/edit?usp=sharing"",""อุดรธานี!M482"")"),129504.29)</f>
        <v>129504.29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IFERROR(__xludf.DUMMYFUNCTION("IMPORTRANGE(""https://docs.google.com/spreadsheets/d/1XL5vhW3sbDhbH9Cz0tuDiY8C3ctxq1tqvaCgkFb8cCA/edit?usp=sharing"",""อุดรธานี!M483"")"),276500.03)</f>
        <v>276500.03000000003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IFERROR(__xludf.DUMMYFUNCTION("IMPORTRANGE(""https://docs.google.com/spreadsheets/d/1XL5vhW3sbDhbH9Cz0tuDiY8C3ctxq1tqvaCgkFb8cCA/edit?usp=sharing"",""อุดรธานี!J484"")"),522)</f>
        <v>522</v>
      </c>
      <c r="K589" s="163">
        <f t="shared" ref="K589:K596" ca="1" si="125">IF(I589&gt;0,J589*100/I589,0)</f>
        <v>137.36842105263159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IFERROR(__xludf.DUMMYFUNCTION("IMPORTRANGE(""https://docs.google.com/spreadsheets/d/1XL5vhW3sbDhbH9Cz0tuDiY8C3ctxq1tqvaCgkFb8cCA/edit?usp=sharing"",""อุดรธานี!J485"")"),271.92)</f>
        <v>271.92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IFERROR(__xludf.DUMMYFUNCTION("IMPORTRANGE(""https://docs.google.com/spreadsheets/d/1XL5vhW3sbDhbH9Cz0tuDiY8C3ctxq1tqvaCgkFb8cCA/edit?usp=sharing"",""อุดรธานี!J486"")"),268)</f>
        <v>268</v>
      </c>
      <c r="K591" s="163">
        <f t="shared" ca="1" si="125"/>
        <v>70.526315789473685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IFERROR(__xludf.DUMMYFUNCTION("IMPORTRANGE(""https://docs.google.com/spreadsheets/d/1XL5vhW3sbDhbH9Cz0tuDiY8C3ctxq1tqvaCgkFb8cCA/edit?usp=sharing"",""อุดรธานี!J487"")"),136.97)</f>
        <v>136.97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IFERROR(__xludf.DUMMYFUNCTION("IMPORTRANGE(""https://docs.google.com/spreadsheets/d/1XL5vhW3sbDhbH9Cz0tuDiY8C3ctxq1tqvaCgkFb8cCA/edit?usp=sharing"",""อุดรธานี!J488"")"),180)</f>
        <v>180</v>
      </c>
      <c r="K593" s="163">
        <f t="shared" ca="1" si="125"/>
        <v>47.368421052631582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IFERROR(__xludf.DUMMYFUNCTION("IMPORTRANGE(""https://docs.google.com/spreadsheets/d/1XL5vhW3sbDhbH9Cz0tuDiY8C3ctxq1tqvaCgkFb8cCA/edit?usp=sharing"",""อุดรธานี!J489"")"),91.73)</f>
        <v>91.73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IFERROR(__xludf.DUMMYFUNCTION("IMPORTRANGE(""https://docs.google.com/spreadsheets/d/1XL5vhW3sbDhbH9Cz0tuDiY8C3ctxq1tqvaCgkFb8cCA/edit?usp=sharing"",""อุดรธานี!J490"")"),1)</f>
        <v>1</v>
      </c>
      <c r="K595" s="163">
        <f t="shared" ca="1" si="125"/>
        <v>0.26315789473684209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IFERROR(__xludf.DUMMYFUNCTION("IMPORTRANGE(""https://docs.google.com/spreadsheets/d/1XL5vhW3sbDhbH9Cz0tuDiY8C3ctxq1tqvaCgkFb8cCA/edit?usp=sharing"",""อุดรธานี!I491"")"),0)</f>
        <v>0</v>
      </c>
      <c r="J596" s="241">
        <f ca="1">IFERROR(__xludf.DUMMYFUNCTION("IMPORTRANGE(""https://docs.google.com/spreadsheets/d/1XL5vhW3sbDhbH9Cz0tuDiY8C3ctxq1tqvaCgkFb8cCA/edit?usp=sharing"",""อุดรธานี!J491"")"),1.29)</f>
        <v>1.29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7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17.142857142857142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17.142857142857142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17.142857142857142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IFERROR(__xludf.DUMMYFUNCTION("IMPORTRANGE(""https://docs.google.com/spreadsheets/d/1XL5vhW3sbDhbH9Cz0tuDiY8C3ctxq1tqvaCgkFb8cCA/edit?usp=sharing"",""อุดรธานี!J166"")"),0)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IFERROR(__xludf.DUMMYFUNCTION("IMPORTRANGE(""https://docs.google.com/spreadsheets/d/1XL5vhW3sbDhbH9Cz0tuDiY8C3ctxq1tqvaCgkFb8cCA/edit?usp=sharing"",""อุดรธานี!J166"")"),0)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1">
        <f ca="1">IFERROR(__xludf.DUMMYFUNCTION("IMPORTRANGE(""https://docs.google.com/spreadsheets/d/1XL5vhW3sbDhbH9Cz0tuDiY8C3ctxq1tqvaCgkFb8cCA/edit?usp=sharing"",""อุดรธานี!J523"")"),2666593.59)</f>
        <v>2666593.59</v>
      </c>
      <c r="K628" s="342">
        <f t="shared" ref="K628:K635" ca="1" si="129">IF(I628&gt;0,J628*100/I628,0)</f>
        <v>61.6148965389797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IFERROR(__xludf.DUMMYFUNCTION("IMPORTRANGE(""https://docs.google.com/spreadsheets/d/1XL5vhW3sbDhbH9Cz0tuDiY8C3ctxq1tqvaCgkFb8cCA/edit?usp=sharing"",""อุดรธานี!I524"")"),302)</f>
        <v>302</v>
      </c>
      <c r="J629" s="341">
        <f ca="1">IFERROR(__xludf.DUMMYFUNCTION("IMPORTRANGE(""https://docs.google.com/spreadsheets/d/1XL5vhW3sbDhbH9Cz0tuDiY8C3ctxq1tqvaCgkFb8cCA/edit?usp=sharing"",""อุดรธานี!J524"")"),155)</f>
        <v>155</v>
      </c>
      <c r="K629" s="342">
        <f t="shared" ca="1" si="129"/>
        <v>51.324503311258276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1">
        <f ca="1">IFERROR(__xludf.DUMMYFUNCTION("IMPORTRANGE(""https://docs.google.com/spreadsheets/d/1XL5vhW3sbDhbH9Cz0tuDiY8C3ctxq1tqvaCgkFb8cCA/edit?usp=sharing"",""อุดรธานี!J525"")"),792998.77)</f>
        <v>792998.77</v>
      </c>
      <c r="K630" s="342">
        <f t="shared" ca="1" si="129"/>
        <v>41.942968338515804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IFERROR(__xludf.DUMMYFUNCTION("IMPORTRANGE(""https://docs.google.com/spreadsheets/d/1XL5vhW3sbDhbH9Cz0tuDiY8C3ctxq1tqvaCgkFb8cCA/edit?usp=sharing"",""อุดรธานี!I526"")"),120)</f>
        <v>120</v>
      </c>
      <c r="J631" s="341">
        <f ca="1">IFERROR(__xludf.DUMMYFUNCTION("IMPORTRANGE(""https://docs.google.com/spreadsheets/d/1XL5vhW3sbDhbH9Cz0tuDiY8C3ctxq1tqvaCgkFb8cCA/edit?usp=sharing"",""อุดรธานี!J526"")"),65)</f>
        <v>65</v>
      </c>
      <c r="K631" s="342">
        <f t="shared" ca="1" si="129"/>
        <v>54.166666666666664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1">
        <f ca="1">IFERROR(__xludf.DUMMYFUNCTION("IMPORTRANGE(""https://docs.google.com/spreadsheets/d/1XL5vhW3sbDhbH9Cz0tuDiY8C3ctxq1tqvaCgkFb8cCA/edit?usp=sharing"",""อุดรธานี!J527"")"),85707.36)</f>
        <v>85707.36</v>
      </c>
      <c r="K632" s="342">
        <f t="shared" ca="1" si="129"/>
        <v>12.280862564088382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IFERROR(__xludf.DUMMYFUNCTION("IMPORTRANGE(""https://docs.google.com/spreadsheets/d/1XL5vhW3sbDhbH9Cz0tuDiY8C3ctxq1tqvaCgkFb8cCA/edit?usp=sharing"",""อุดรธานี!I528"")"),24)</f>
        <v>24</v>
      </c>
      <c r="J633" s="341">
        <f ca="1">IFERROR(__xludf.DUMMYFUNCTION("IMPORTRANGE(""https://docs.google.com/spreadsheets/d/1XL5vhW3sbDhbH9Cz0tuDiY8C3ctxq1tqvaCgkFb8cCA/edit?usp=sharing"",""อุดรธานี!J528"")"),17)</f>
        <v>17</v>
      </c>
      <c r="K633" s="342">
        <f t="shared" ca="1" si="129"/>
        <v>70.833333333333329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IFERROR(__xludf.DUMMYFUNCTION("IMPORTRANGE(""https://docs.google.com/spreadsheets/d/1XL5vhW3sbDhbH9Cz0tuDiY8C3ctxq1tqvaCgkFb8cCA/edit?usp=sharing"",""อุดรธานี!I529"")"),5000000)</f>
        <v>5000000</v>
      </c>
      <c r="J634" s="341">
        <f ca="1">IFERROR(__xludf.DUMMYFUNCTION("IMPORTRANGE(""https://docs.google.com/spreadsheets/d/1XL5vhW3sbDhbH9Cz0tuDiY8C3ctxq1tqvaCgkFb8cCA/edit?usp=sharing"",""อุดรธานี!J529"")"),2660000)</f>
        <v>2660000</v>
      </c>
      <c r="K634" s="342">
        <f t="shared" ca="1" si="129"/>
        <v>53.2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IFERROR(__xludf.DUMMYFUNCTION("IMPORTRANGE(""https://docs.google.com/spreadsheets/d/1XL5vhW3sbDhbH9Cz0tuDiY8C3ctxq1tqvaCgkFb8cCA/edit?usp=sharing"",""อุดรธานี!I530"")"),200)</f>
        <v>200</v>
      </c>
      <c r="J635" s="504">
        <f ca="1">IFERROR(__xludf.DUMMYFUNCTION("IMPORTRANGE(""https://docs.google.com/spreadsheets/d/1XL5vhW3sbDhbH9Cz0tuDiY8C3ctxq1tqvaCgkFb8cCA/edit?usp=sharing"",""อุดรธานี!J530"")"),94)</f>
        <v>94</v>
      </c>
      <c r="K635" s="486">
        <f t="shared" ca="1" si="129"/>
        <v>47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07"/>
      <c r="J636" s="507"/>
      <c r="K636" s="508"/>
      <c r="L636" s="509">
        <f ca="1">SUM(L637,L638)</f>
        <v>106870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59"/>
    </row>
    <row r="637" spans="1:16" ht="21.75" customHeight="1" x14ac:dyDescent="0.3">
      <c r="A637" s="511"/>
      <c r="B637" s="512"/>
      <c r="C637" s="513" t="s">
        <v>16</v>
      </c>
      <c r="D637" s="671" t="s">
        <v>77</v>
      </c>
      <c r="E637" s="641"/>
      <c r="F637" s="641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7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106870</v>
      </c>
      <c r="M638" s="520"/>
      <c r="N638" s="521">
        <f ca="1">SUM(N639:N640)</f>
        <v>0</v>
      </c>
      <c r="O638" s="521">
        <f t="shared" ca="1" si="130"/>
        <v>0</v>
      </c>
      <c r="P638" s="57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7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106870</v>
      </c>
      <c r="M640" s="520"/>
      <c r="N640" s="521">
        <f ca="1">SUM(N641:N644)</f>
        <v>0</v>
      </c>
      <c r="O640" s="521">
        <f t="shared" ca="1" si="130"/>
        <v>0</v>
      </c>
      <c r="P640" s="57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3"/>
      <c r="M641" s="520"/>
      <c r="N641" s="521">
        <v>0</v>
      </c>
      <c r="O641" s="523"/>
      <c r="P641" s="573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3"/>
      <c r="M642" s="520"/>
      <c r="N642" s="521">
        <v>0</v>
      </c>
      <c r="O642" s="523"/>
      <c r="P642" s="573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3"/>
      <c r="M643" s="520"/>
      <c r="N643" s="521">
        <v>0</v>
      </c>
      <c r="O643" s="523"/>
      <c r="P643" s="573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4"/>
      <c r="J644" s="522"/>
      <c r="K644" s="523"/>
      <c r="L644" s="523"/>
      <c r="M644" s="520"/>
      <c r="N644" s="521">
        <f ca="1">N648+N649+N650+N651+N661+N665+N668+N671</f>
        <v>0</v>
      </c>
      <c r="O644" s="523"/>
      <c r="P644" s="573"/>
    </row>
    <row r="645" spans="1:16" ht="21.75" customHeight="1" x14ac:dyDescent="0.3">
      <c r="A645" s="525"/>
      <c r="B645" s="526"/>
      <c r="C645" s="513" t="s">
        <v>16</v>
      </c>
      <c r="D645" s="672" t="s">
        <v>242</v>
      </c>
      <c r="E645" s="641"/>
      <c r="F645" s="641"/>
      <c r="G645" s="667"/>
      <c r="H645" s="517"/>
      <c r="I645" s="517"/>
      <c r="J645" s="517"/>
      <c r="K645" s="518"/>
      <c r="L645" s="520"/>
      <c r="M645" s="520"/>
      <c r="N645" s="520"/>
      <c r="O645" s="518"/>
      <c r="P645" s="568"/>
    </row>
    <row r="646" spans="1:16" ht="21.75" customHeight="1" x14ac:dyDescent="0.3">
      <c r="A646" s="525"/>
      <c r="B646" s="526"/>
      <c r="C646" s="526"/>
      <c r="D646" s="527">
        <v>1</v>
      </c>
      <c r="E646" s="673" t="s">
        <v>44</v>
      </c>
      <c r="F646" s="641"/>
      <c r="G646" s="667"/>
      <c r="H646" s="522"/>
      <c r="I646" s="528"/>
      <c r="J646" s="529">
        <f ca="1">IFERROR(__xludf.DUMMYFUNCTION("IMPORTRANGE(""https://docs.google.com/spreadsheets/d/1XL5vhW3sbDhbH9Cz0tuDiY8C3ctxq1tqvaCgkFb8cCA/edit#gid=346597447"",""อุดรธานี!J541"")"),0)</f>
        <v>0</v>
      </c>
      <c r="K646" s="518"/>
      <c r="L646" s="520"/>
      <c r="M646" s="520"/>
      <c r="N646" s="530"/>
      <c r="O646" s="518"/>
      <c r="P646" s="568"/>
    </row>
    <row r="647" spans="1:16" ht="21.75" customHeight="1" x14ac:dyDescent="0.3">
      <c r="A647" s="525"/>
      <c r="B647" s="526"/>
      <c r="C647" s="526"/>
      <c r="D647" s="531">
        <v>2</v>
      </c>
      <c r="E647" s="674" t="s">
        <v>243</v>
      </c>
      <c r="F647" s="641"/>
      <c r="G647" s="667"/>
      <c r="H647" s="522"/>
      <c r="I647" s="528"/>
      <c r="J647" s="529">
        <f ca="1">IFERROR(__xludf.DUMMYFUNCTION("IMPORTRANGE(""https://docs.google.com/spreadsheets/d/1XL5vhW3sbDhbH9Cz0tuDiY8C3ctxq1tqvaCgkFb8cCA/edit#gid=346597447"",""อุดรธานี!J542"")"),0)</f>
        <v>0</v>
      </c>
      <c r="K647" s="518"/>
      <c r="L647" s="520"/>
      <c r="M647" s="520"/>
      <c r="N647" s="520"/>
      <c r="O647" s="518"/>
      <c r="P647" s="568"/>
    </row>
    <row r="648" spans="1:16" ht="21.75" customHeight="1" x14ac:dyDescent="0.3">
      <c r="A648" s="511"/>
      <c r="B648" s="512"/>
      <c r="C648" s="512"/>
      <c r="D648" s="512"/>
      <c r="E648" s="512"/>
      <c r="F648" s="666" t="s">
        <v>244</v>
      </c>
      <c r="G648" s="667"/>
      <c r="H648" s="515" t="s">
        <v>122</v>
      </c>
      <c r="I648" s="532">
        <f ca="1">IFERROR(__xludf.DUMMYFUNCTION("IMPORTRANGE(""https://docs.google.com/spreadsheets/d/1XL5vhW3sbDhbH9Cz0tuDiY8C3ctxq1tqvaCgkFb8cCA/edit#gid=346597447"",""อุดรธานี!I543"")"),572)</f>
        <v>572</v>
      </c>
      <c r="J648" s="533">
        <f ca="1">IFERROR(__xludf.DUMMYFUNCTION("IMPORTRANGE(""https://docs.google.com/spreadsheets/d/1XL5vhW3sbDhbH9Cz0tuDiY8C3ctxq1tqvaCgkFb8cCA/edit#gid=346597447"",""อุดรธานี!J543"")"),0)</f>
        <v>0</v>
      </c>
      <c r="K648" s="534">
        <f t="shared" ref="K648:K651" ca="1" si="131">IF(I648&gt;0,J648*100/I648,0)</f>
        <v>0</v>
      </c>
      <c r="L648" s="521">
        <f ca="1">IFERROR(__xludf.DUMMYFUNCTION("IMPORTRANGE(""https://docs.google.com/spreadsheets/d/1XL5vhW3sbDhbH9Cz0tuDiY8C3ctxq1tqvaCgkFb8cCA/edit#gid=346597447"",""อุดรธานี!L543"")"),45760)</f>
        <v>45760</v>
      </c>
      <c r="M648" s="520"/>
      <c r="N648" s="535">
        <f ca="1">IFERROR(__xludf.DUMMYFUNCTION("IMPORTRANGE(""https://docs.google.com/spreadsheets/d/1XL5vhW3sbDhbH9Cz0tuDiY8C3ctxq1tqvaCgkFb8cCA/edit#gid=346597447"",""อุดรธานี!M543"")"),0)</f>
        <v>0</v>
      </c>
      <c r="O648" s="534">
        <f t="shared" ref="O648:O651" ca="1" si="132">IF(L648&gt;0,N648*100/L648,0)</f>
        <v>0</v>
      </c>
      <c r="P648" s="586"/>
    </row>
    <row r="649" spans="1:16" ht="21.75" customHeight="1" x14ac:dyDescent="0.3">
      <c r="A649" s="511"/>
      <c r="B649" s="512"/>
      <c r="C649" s="512"/>
      <c r="D649" s="512"/>
      <c r="E649" s="512"/>
      <c r="F649" s="666" t="s">
        <v>245</v>
      </c>
      <c r="G649" s="667"/>
      <c r="H649" s="515" t="s">
        <v>37</v>
      </c>
      <c r="I649" s="532">
        <f ca="1">IFERROR(__xludf.DUMMYFUNCTION("IMPORTRANGE(""https://docs.google.com/spreadsheets/d/1XL5vhW3sbDhbH9Cz0tuDiY8C3ctxq1tqvaCgkFb8cCA/edit#gid=346597447"",""อุดรธานี!I544"")"),53)</f>
        <v>53</v>
      </c>
      <c r="J649" s="533">
        <f ca="1">IFERROR(__xludf.DUMMYFUNCTION("IMPORTRANGE(""https://docs.google.com/spreadsheets/d/1XL5vhW3sbDhbH9Cz0tuDiY8C3ctxq1tqvaCgkFb8cCA/edit#gid=346597447"",""อุดรธานี!J544"")"),0)</f>
        <v>0</v>
      </c>
      <c r="K649" s="534">
        <f t="shared" ca="1" si="131"/>
        <v>0</v>
      </c>
      <c r="L649" s="521">
        <f ca="1">IFERROR(__xludf.DUMMYFUNCTION("IMPORTRANGE(""https://docs.google.com/spreadsheets/d/1XL5vhW3sbDhbH9Cz0tuDiY8C3ctxq1tqvaCgkFb8cCA/edit#gid=346597447"",""อุดรธานี!L544"")"),6360)</f>
        <v>6360</v>
      </c>
      <c r="M649" s="520"/>
      <c r="N649" s="535">
        <f ca="1">IFERROR(__xludf.DUMMYFUNCTION("IMPORTRANGE(""https://docs.google.com/spreadsheets/d/1XL5vhW3sbDhbH9Cz0tuDiY8C3ctxq1tqvaCgkFb8cCA/edit#gid=346597447"",""อุดรธานี!M544"")"),0)</f>
        <v>0</v>
      </c>
      <c r="O649" s="534">
        <f t="shared" ca="1" si="132"/>
        <v>0</v>
      </c>
      <c r="P649" s="586"/>
    </row>
    <row r="650" spans="1:16" ht="21.75" customHeight="1" x14ac:dyDescent="0.3">
      <c r="A650" s="511"/>
      <c r="B650" s="512"/>
      <c r="C650" s="512"/>
      <c r="D650" s="512"/>
      <c r="E650" s="512"/>
      <c r="F650" s="666" t="s">
        <v>246</v>
      </c>
      <c r="G650" s="667"/>
      <c r="H650" s="515" t="s">
        <v>122</v>
      </c>
      <c r="I650" s="532">
        <f ca="1">IFERROR(__xludf.DUMMYFUNCTION("IMPORTRANGE(""https://docs.google.com/spreadsheets/d/1XL5vhW3sbDhbH9Cz0tuDiY8C3ctxq1tqvaCgkFb8cCA/edit#gid=346597447"",""อุดรธานี!I545"")"),0)</f>
        <v>0</v>
      </c>
      <c r="J650" s="533">
        <f ca="1">IFERROR(__xludf.DUMMYFUNCTION("IMPORTRANGE(""https://docs.google.com/spreadsheets/d/1XL5vhW3sbDhbH9Cz0tuDiY8C3ctxq1tqvaCgkFb8cCA/edit#gid=346597447"",""อุดรธานี!J545"")"),0)</f>
        <v>0</v>
      </c>
      <c r="K650" s="534">
        <f t="shared" ca="1" si="131"/>
        <v>0</v>
      </c>
      <c r="L650" s="521">
        <f ca="1">IFERROR(__xludf.DUMMYFUNCTION("IMPORTRANGE(""https://docs.google.com/spreadsheets/d/1XL5vhW3sbDhbH9Cz0tuDiY8C3ctxq1tqvaCgkFb8cCA/edit#gid=346597447"",""อุดรธานี!L545"")"),0)</f>
        <v>0</v>
      </c>
      <c r="M650" s="520"/>
      <c r="N650" s="535">
        <f ca="1">IFERROR(__xludf.DUMMYFUNCTION("IMPORTRANGE(""https://docs.google.com/spreadsheets/d/1XL5vhW3sbDhbH9Cz0tuDiY8C3ctxq1tqvaCgkFb8cCA/edit#gid=346597447"",""อุดรธานี!M545"")"),0)</f>
        <v>0</v>
      </c>
      <c r="O650" s="534">
        <f t="shared" ca="1" si="132"/>
        <v>0</v>
      </c>
      <c r="P650" s="586"/>
    </row>
    <row r="651" spans="1:16" ht="21.75" customHeight="1" x14ac:dyDescent="0.3">
      <c r="A651" s="511"/>
      <c r="B651" s="512"/>
      <c r="C651" s="512"/>
      <c r="D651" s="512"/>
      <c r="E651" s="512"/>
      <c r="F651" s="666" t="s">
        <v>247</v>
      </c>
      <c r="G651" s="667"/>
      <c r="H651" s="515" t="s">
        <v>122</v>
      </c>
      <c r="I651" s="532">
        <f ca="1">IFERROR(__xludf.DUMMYFUNCTION("IMPORTRANGE(""https://docs.google.com/spreadsheets/d/1XL5vhW3sbDhbH9Cz0tuDiY8C3ctxq1tqvaCgkFb8cCA/edit#gid=346597447"",""อุดรธานี!I546"")"),214)</f>
        <v>214</v>
      </c>
      <c r="J651" s="533">
        <f ca="1">J657+J660</f>
        <v>0</v>
      </c>
      <c r="K651" s="534">
        <f t="shared" ca="1" si="131"/>
        <v>0</v>
      </c>
      <c r="L651" s="521">
        <f ca="1">IFERROR(__xludf.DUMMYFUNCTION("IMPORTRANGE(""https://docs.google.com/spreadsheets/d/1XL5vhW3sbDhbH9Cz0tuDiY8C3ctxq1tqvaCgkFb8cCA/edit#gid=346597447"",""อุดรธานี!L546"")"),5350)</f>
        <v>5350</v>
      </c>
      <c r="M651" s="520"/>
      <c r="N651" s="535">
        <f ca="1">IFERROR(__xludf.DUMMYFUNCTION("IMPORTRANGE(""https://docs.google.com/spreadsheets/d/1XL5vhW3sbDhbH9Cz0tuDiY8C3ctxq1tqvaCgkFb8cCA/edit#gid=346597447"",""อุดรธานี!M546"")"),0)</f>
        <v>0</v>
      </c>
      <c r="O651" s="534">
        <f t="shared" ca="1" si="132"/>
        <v>0</v>
      </c>
      <c r="P651" s="58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6"/>
      <c r="J652" s="529">
        <f ca="1">IFERROR(__xludf.DUMMYFUNCTION("IMPORTRANGE(""https://docs.google.com/spreadsheets/d/1XL5vhW3sbDhbH9Cz0tuDiY8C3ctxq1tqvaCgkFb8cCA/edit#gid=346597447"",""อุดรธานี!J547"")"),0)</f>
        <v>0</v>
      </c>
      <c r="K652" s="534"/>
      <c r="L652" s="520"/>
      <c r="M652" s="520"/>
      <c r="N652" s="520"/>
      <c r="O652" s="518"/>
      <c r="P652" s="56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22"/>
      <c r="H653" s="515" t="s">
        <v>122</v>
      </c>
      <c r="I653" s="536"/>
      <c r="J653" s="529">
        <f ca="1">IFERROR(__xludf.DUMMYFUNCTION("IMPORTRANGE(""https://docs.google.com/spreadsheets/d/1XL5vhW3sbDhbH9Cz0tuDiY8C3ctxq1tqvaCgkFb8cCA/edit#gid=346597447"",""อุดรธานี!J548"")"),0)</f>
        <v>0</v>
      </c>
      <c r="K653" s="534"/>
      <c r="L653" s="520"/>
      <c r="M653" s="520"/>
      <c r="N653" s="520"/>
      <c r="O653" s="518"/>
      <c r="P653" s="56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6"/>
      <c r="J654" s="537"/>
      <c r="K654" s="534"/>
      <c r="L654" s="520"/>
      <c r="M654" s="520"/>
      <c r="N654" s="520"/>
      <c r="O654" s="518"/>
      <c r="P654" s="56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6"/>
      <c r="J655" s="529">
        <f ca="1">IFERROR(__xludf.DUMMYFUNCTION("IMPORTRANGE(""https://docs.google.com/spreadsheets/d/1XL5vhW3sbDhbH9Cz0tuDiY8C3ctxq1tqvaCgkFb8cCA/edit#gid=346597447"",""อุดรธานี!J550"")"),0)</f>
        <v>0</v>
      </c>
      <c r="K655" s="534"/>
      <c r="L655" s="520"/>
      <c r="M655" s="520"/>
      <c r="N655" s="520"/>
      <c r="O655" s="518"/>
      <c r="P655" s="56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22"/>
      <c r="H656" s="515" t="s">
        <v>36</v>
      </c>
      <c r="I656" s="536"/>
      <c r="J656" s="529">
        <f ca="1">IFERROR(__xludf.DUMMYFUNCTION("IMPORTRANGE(""https://docs.google.com/spreadsheets/d/1XL5vhW3sbDhbH9Cz0tuDiY8C3ctxq1tqvaCgkFb8cCA/edit#gid=346597447"",""อุดรธานี!J551"")"),0)</f>
        <v>0</v>
      </c>
      <c r="K656" s="534"/>
      <c r="L656" s="520"/>
      <c r="M656" s="520"/>
      <c r="N656" s="520"/>
      <c r="O656" s="518"/>
      <c r="P656" s="56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22"/>
      <c r="H657" s="515" t="s">
        <v>122</v>
      </c>
      <c r="I657" s="536"/>
      <c r="J657" s="529">
        <f ca="1">IFERROR(__xludf.DUMMYFUNCTION("IMPORTRANGE(""https://docs.google.com/spreadsheets/d/1XL5vhW3sbDhbH9Cz0tuDiY8C3ctxq1tqvaCgkFb8cCA/edit#gid=346597447"",""อุดรธานี!J552"")"),0)</f>
        <v>0</v>
      </c>
      <c r="K657" s="534"/>
      <c r="L657" s="520"/>
      <c r="M657" s="520"/>
      <c r="N657" s="520"/>
      <c r="O657" s="518"/>
      <c r="P657" s="56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6"/>
      <c r="J658" s="529">
        <f ca="1">IFERROR(__xludf.DUMMYFUNCTION("IMPORTRANGE(""https://docs.google.com/spreadsheets/d/1XL5vhW3sbDhbH9Cz0tuDiY8C3ctxq1tqvaCgkFb8cCA/edit#gid=346597447"",""อุดรธานี!J553"")"),0)</f>
        <v>0</v>
      </c>
      <c r="K658" s="534"/>
      <c r="L658" s="520"/>
      <c r="M658" s="520"/>
      <c r="N658" s="520"/>
      <c r="O658" s="518"/>
      <c r="P658" s="56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22"/>
      <c r="H659" s="515" t="s">
        <v>36</v>
      </c>
      <c r="I659" s="536"/>
      <c r="J659" s="529">
        <f ca="1">IFERROR(__xludf.DUMMYFUNCTION("IMPORTRANGE(""https://docs.google.com/spreadsheets/d/1XL5vhW3sbDhbH9Cz0tuDiY8C3ctxq1tqvaCgkFb8cCA/edit#gid=346597447"",""อุดรธานี!J554"")"),0)</f>
        <v>0</v>
      </c>
      <c r="K659" s="534"/>
      <c r="L659" s="520"/>
      <c r="M659" s="520"/>
      <c r="N659" s="520"/>
      <c r="O659" s="518"/>
      <c r="P659" s="56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22"/>
      <c r="H660" s="515" t="s">
        <v>122</v>
      </c>
      <c r="I660" s="536"/>
      <c r="J660" s="529">
        <f ca="1">IFERROR(__xludf.DUMMYFUNCTION("IMPORTRANGE(""https://docs.google.com/spreadsheets/d/1XL5vhW3sbDhbH9Cz0tuDiY8C3ctxq1tqvaCgkFb8cCA/edit#gid=346597447"",""อุดรธานี!J555"")"),0)</f>
        <v>0</v>
      </c>
      <c r="K660" s="534"/>
      <c r="L660" s="520"/>
      <c r="M660" s="520"/>
      <c r="N660" s="520"/>
      <c r="O660" s="518"/>
      <c r="P660" s="568"/>
    </row>
    <row r="661" spans="1:16" ht="21.75" customHeight="1" x14ac:dyDescent="0.3">
      <c r="A661" s="511"/>
      <c r="B661" s="512"/>
      <c r="C661" s="512"/>
      <c r="D661" s="512"/>
      <c r="E661" s="512"/>
      <c r="F661" s="666" t="s">
        <v>252</v>
      </c>
      <c r="G661" s="667"/>
      <c r="H661" s="515" t="s">
        <v>37</v>
      </c>
      <c r="I661" s="536"/>
      <c r="J661" s="533">
        <f ca="1">IFERROR(__xludf.DUMMYFUNCTION("IMPORTRANGE(""https://docs.google.com/spreadsheets/d/1XL5vhW3sbDhbH9Cz0tuDiY8C3ctxq1tqvaCgkFb8cCA/edit#gid=346597447"",""อุดรธานี!J556"")"),0)</f>
        <v>0</v>
      </c>
      <c r="K661" s="534"/>
      <c r="L661" s="521">
        <f ca="1">IFERROR(__xludf.DUMMYFUNCTION("IMPORTRANGE(""https://docs.google.com/spreadsheets/d/1XL5vhW3sbDhbH9Cz0tuDiY8C3ctxq1tqvaCgkFb8cCA/edit#gid=346597447"",""อุดรธานี!L556"")"),3640)</f>
        <v>3640</v>
      </c>
      <c r="M661" s="520"/>
      <c r="N661" s="535">
        <f ca="1">IFERROR(__xludf.DUMMYFUNCTION("IMPORTRANGE(""https://docs.google.com/spreadsheets/d/1XL5vhW3sbDhbH9Cz0tuDiY8C3ctxq1tqvaCgkFb8cCA/edit#gid=346597447"",""อุดรธานี!M556"")"),0)</f>
        <v>0</v>
      </c>
      <c r="O661" s="534">
        <f ca="1">IF(L661&gt;0,N661*100/L661,0)</f>
        <v>0</v>
      </c>
      <c r="P661" s="58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22"/>
      <c r="H662" s="515" t="s">
        <v>36</v>
      </c>
      <c r="I662" s="536"/>
      <c r="J662" s="533">
        <f ca="1">IFERROR(__xludf.DUMMYFUNCTION("IMPORTRANGE(""https://docs.google.com/spreadsheets/d/1XL5vhW3sbDhbH9Cz0tuDiY8C3ctxq1tqvaCgkFb8cCA/edit#gid=346597447"",""อุดรธานี!J557"")"),0)</f>
        <v>0</v>
      </c>
      <c r="K662" s="534"/>
      <c r="L662" s="520"/>
      <c r="M662" s="520"/>
      <c r="N662" s="520"/>
      <c r="O662" s="518"/>
      <c r="P662" s="56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22"/>
      <c r="H663" s="515" t="s">
        <v>122</v>
      </c>
      <c r="I663" s="532">
        <f ca="1">IFERROR(__xludf.DUMMYFUNCTION("IMPORTRANGE(""https://docs.google.com/spreadsheets/d/1XL5vhW3sbDhbH9Cz0tuDiY8C3ctxq1tqvaCgkFb8cCA/edit#gid=346597447"",""อุดรธานี!I558"")"),91)</f>
        <v>91</v>
      </c>
      <c r="J663" s="533">
        <f ca="1">IFERROR(__xludf.DUMMYFUNCTION("IMPORTRANGE(""https://docs.google.com/spreadsheets/d/1XL5vhW3sbDhbH9Cz0tuDiY8C3ctxq1tqvaCgkFb8cCA/edit#gid=346597447"",""อุดรธานี!J558"")"),0)</f>
        <v>0</v>
      </c>
      <c r="K663" s="534">
        <f ca="1">IF(I663&gt;0,J663*100/I663,0)</f>
        <v>0</v>
      </c>
      <c r="L663" s="520"/>
      <c r="M663" s="520"/>
      <c r="N663" s="520"/>
      <c r="O663" s="518"/>
      <c r="P663" s="568"/>
    </row>
    <row r="664" spans="1:16" ht="21.75" customHeight="1" x14ac:dyDescent="0.3">
      <c r="A664" s="511"/>
      <c r="B664" s="512"/>
      <c r="C664" s="512"/>
      <c r="D664" s="512"/>
      <c r="E664" s="512"/>
      <c r="F664" s="666" t="s">
        <v>253</v>
      </c>
      <c r="G664" s="667"/>
      <c r="H664" s="517"/>
      <c r="I664" s="536"/>
      <c r="J664" s="537"/>
      <c r="K664" s="534"/>
      <c r="L664" s="520"/>
      <c r="M664" s="520"/>
      <c r="N664" s="530"/>
      <c r="O664" s="518"/>
      <c r="P664" s="56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2">
        <f ca="1">IFERROR(__xludf.DUMMYFUNCTION("IMPORTRANGE(""https://docs.google.com/spreadsheets/d/1XL5vhW3sbDhbH9Cz0tuDiY8C3ctxq1tqvaCgkFb8cCA/edit#gid=346597447"",""อุดรธานี!I560"")"),0)</f>
        <v>0</v>
      </c>
      <c r="J665" s="533">
        <f ca="1">IFERROR(__xludf.DUMMYFUNCTION("IMPORTRANGE(""https://docs.google.com/spreadsheets/d/1XL5vhW3sbDhbH9Cz0tuDiY8C3ctxq1tqvaCgkFb8cCA/edit#gid=346597447"",""อุดรธานี!J560"")"),0)</f>
        <v>0</v>
      </c>
      <c r="K665" s="534">
        <f ca="1">IF(I665&gt;0,J665*100/I665,0)</f>
        <v>0</v>
      </c>
      <c r="L665" s="521">
        <f ca="1">IFERROR(__xludf.DUMMYFUNCTION("IMPORTRANGE(""https://docs.google.com/spreadsheets/d/1XL5vhW3sbDhbH9Cz0tuDiY8C3ctxq1tqvaCgkFb8cCA/edit#gid=346597447"",""อุดรธานี!L560"")"),0)</f>
        <v>0</v>
      </c>
      <c r="M665" s="520"/>
      <c r="N665" s="535">
        <f ca="1">IFERROR(__xludf.DUMMYFUNCTION("IMPORTRANGE(""https://docs.google.com/spreadsheets/d/1XL5vhW3sbDhbH9Cz0tuDiY8C3ctxq1tqvaCgkFb8cCA/edit#gid=346597447"",""อุดรธานี!M560"")"),0)</f>
        <v>0</v>
      </c>
      <c r="O665" s="534">
        <f ca="1">IF(L665&gt;0,N665*100/L665,0)</f>
        <v>0</v>
      </c>
      <c r="P665" s="58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22"/>
      <c r="H666" s="515" t="s">
        <v>36</v>
      </c>
      <c r="I666" s="536"/>
      <c r="J666" s="533">
        <f ca="1">IFERROR(__xludf.DUMMYFUNCTION("IMPORTRANGE(""https://docs.google.com/spreadsheets/d/1XL5vhW3sbDhbH9Cz0tuDiY8C3ctxq1tqvaCgkFb8cCA/edit#gid=346597447"",""อุดรธานี!J561"")"),0)</f>
        <v>0</v>
      </c>
      <c r="K666" s="534"/>
      <c r="L666" s="520"/>
      <c r="M666" s="520"/>
      <c r="N666" s="520"/>
      <c r="O666" s="518"/>
      <c r="P666" s="56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22"/>
      <c r="H667" s="515" t="s">
        <v>122</v>
      </c>
      <c r="I667" s="536"/>
      <c r="J667" s="533">
        <f ca="1">IFERROR(__xludf.DUMMYFUNCTION("IMPORTRANGE(""https://docs.google.com/spreadsheets/d/1XL5vhW3sbDhbH9Cz0tuDiY8C3ctxq1tqvaCgkFb8cCA/edit#gid=346597447"",""อุดรธานี!J562"")"),0)</f>
        <v>0</v>
      </c>
      <c r="K667" s="534"/>
      <c r="L667" s="520"/>
      <c r="M667" s="520"/>
      <c r="N667" s="520"/>
      <c r="O667" s="518"/>
      <c r="P667" s="56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2">
        <f ca="1">IFERROR(__xludf.DUMMYFUNCTION("IMPORTRANGE(""https://docs.google.com/spreadsheets/d/1XL5vhW3sbDhbH9Cz0tuDiY8C3ctxq1tqvaCgkFb8cCA/edit#gid=346597447"",""อุดรธานี!I563"")"),0)</f>
        <v>0</v>
      </c>
      <c r="J668" s="533">
        <f ca="1">IFERROR(__xludf.DUMMYFUNCTION("IMPORTRANGE(""https://docs.google.com/spreadsheets/d/1XL5vhW3sbDhbH9Cz0tuDiY8C3ctxq1tqvaCgkFb8cCA/edit#gid=346597447"",""อุดรธานี!J563"")"),0)</f>
        <v>0</v>
      </c>
      <c r="K668" s="534">
        <f ca="1">IF(I668&gt;0,J668*100/I668,0)</f>
        <v>0</v>
      </c>
      <c r="L668" s="521">
        <f ca="1">IFERROR(__xludf.DUMMYFUNCTION("IMPORTRANGE(""https://docs.google.com/spreadsheets/d/1XL5vhW3sbDhbH9Cz0tuDiY8C3ctxq1tqvaCgkFb8cCA/edit#gid=346597447"",""อุดรธานี!L563"")"),0)</f>
        <v>0</v>
      </c>
      <c r="M668" s="520"/>
      <c r="N668" s="535">
        <f ca="1">IFERROR(__xludf.DUMMYFUNCTION("IMPORTRANGE(""https://docs.google.com/spreadsheets/d/1XL5vhW3sbDhbH9Cz0tuDiY8C3ctxq1tqvaCgkFb8cCA/edit#gid=346597447"",""อุดรธานี!M563"")"),0)</f>
        <v>0</v>
      </c>
      <c r="O668" s="534">
        <f ca="1">IF(L668&gt;0,N668*100/L668,0)</f>
        <v>0</v>
      </c>
      <c r="P668" s="58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22"/>
      <c r="H669" s="515" t="s">
        <v>36</v>
      </c>
      <c r="I669" s="536"/>
      <c r="J669" s="533">
        <f ca="1">IFERROR(__xludf.DUMMYFUNCTION("IMPORTRANGE(""https://docs.google.com/spreadsheets/d/1XL5vhW3sbDhbH9Cz0tuDiY8C3ctxq1tqvaCgkFb8cCA/edit#gid=346597447"",""อุดรธานี!J564"")"),0)</f>
        <v>0</v>
      </c>
      <c r="K669" s="534"/>
      <c r="L669" s="520"/>
      <c r="M669" s="520"/>
      <c r="N669" s="520"/>
      <c r="O669" s="518"/>
      <c r="P669" s="56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22"/>
      <c r="H670" s="515" t="s">
        <v>122</v>
      </c>
      <c r="I670" s="536"/>
      <c r="J670" s="533">
        <f ca="1">IFERROR(__xludf.DUMMYFUNCTION("IMPORTRANGE(""https://docs.google.com/spreadsheets/d/1XL5vhW3sbDhbH9Cz0tuDiY8C3ctxq1tqvaCgkFb8cCA/edit#gid=346597447"",""อุดรธานี!J565"")"),0)</f>
        <v>0</v>
      </c>
      <c r="K670" s="534"/>
      <c r="L670" s="520"/>
      <c r="M670" s="520"/>
      <c r="N670" s="520"/>
      <c r="O670" s="518"/>
      <c r="P670" s="568"/>
    </row>
    <row r="671" spans="1:16" ht="21.75" customHeight="1" x14ac:dyDescent="0.3">
      <c r="A671" s="511"/>
      <c r="B671" s="512"/>
      <c r="C671" s="512"/>
      <c r="D671" s="512"/>
      <c r="E671" s="512"/>
      <c r="F671" s="666" t="s">
        <v>256</v>
      </c>
      <c r="G671" s="667"/>
      <c r="H671" s="515" t="s">
        <v>122</v>
      </c>
      <c r="I671" s="532">
        <f ca="1">IFERROR(__xludf.DUMMYFUNCTION("IMPORTRANGE(""https://docs.google.com/spreadsheets/d/1XL5vhW3sbDhbH9Cz0tuDiY8C3ctxq1tqvaCgkFb8cCA/edit#gid=346597447"",""อุดรธานี!I566"")"),572)</f>
        <v>572</v>
      </c>
      <c r="J671" s="533">
        <f ca="1">J674+J677</f>
        <v>0</v>
      </c>
      <c r="K671" s="534">
        <f ca="1">IF(I671&gt;0,J671*100/I671,0)</f>
        <v>0</v>
      </c>
      <c r="L671" s="521">
        <f ca="1">IFERROR(__xludf.DUMMYFUNCTION("IMPORTRANGE(""https://docs.google.com/spreadsheets/d/1XL5vhW3sbDhbH9Cz0tuDiY8C3ctxq1tqvaCgkFb8cCA/edit#gid=346597447"",""อุดรธานี!L566"")"),45760)</f>
        <v>45760</v>
      </c>
      <c r="M671" s="520"/>
      <c r="N671" s="535">
        <f ca="1">IFERROR(__xludf.DUMMYFUNCTION("IMPORTRANGE(""https://docs.google.com/spreadsheets/d/1XL5vhW3sbDhbH9Cz0tuDiY8C3ctxq1tqvaCgkFb8cCA/edit#gid=346597447"",""อุดรธานี!M566"")"),0)</f>
        <v>0</v>
      </c>
      <c r="O671" s="534">
        <f ca="1">IF(L671&gt;0,N671*100/L671,0)</f>
        <v>0</v>
      </c>
      <c r="P671" s="58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6"/>
      <c r="J672" s="529">
        <f ca="1">IFERROR(__xludf.DUMMYFUNCTION("IMPORTRANGE(""https://docs.google.com/spreadsheets/d/1XL5vhW3sbDhbH9Cz0tuDiY8C3ctxq1tqvaCgkFb8cCA/edit#gid=346597447"",""อุดรธานี!J567"")"),0)</f>
        <v>0</v>
      </c>
      <c r="K672" s="534"/>
      <c r="L672" s="520"/>
      <c r="M672" s="520"/>
      <c r="N672" s="520"/>
      <c r="O672" s="518"/>
      <c r="P672" s="56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22"/>
      <c r="H673" s="515" t="s">
        <v>36</v>
      </c>
      <c r="I673" s="536"/>
      <c r="J673" s="529">
        <f ca="1">IFERROR(__xludf.DUMMYFUNCTION("IMPORTRANGE(""https://docs.google.com/spreadsheets/d/1XL5vhW3sbDhbH9Cz0tuDiY8C3ctxq1tqvaCgkFb8cCA/edit#gid=346597447"",""อุดรธานี!J568"")"),0)</f>
        <v>0</v>
      </c>
      <c r="K673" s="534"/>
      <c r="L673" s="520"/>
      <c r="M673" s="520"/>
      <c r="N673" s="520"/>
      <c r="O673" s="518"/>
      <c r="P673" s="56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22"/>
      <c r="H674" s="515" t="s">
        <v>122</v>
      </c>
      <c r="I674" s="536"/>
      <c r="J674" s="529">
        <f ca="1">IFERROR(__xludf.DUMMYFUNCTION("IMPORTRANGE(""https://docs.google.com/spreadsheets/d/1XL5vhW3sbDhbH9Cz0tuDiY8C3ctxq1tqvaCgkFb8cCA/edit#gid=346597447"",""อุดรธานี!J569"")"),0)</f>
        <v>0</v>
      </c>
      <c r="K674" s="534"/>
      <c r="L674" s="520"/>
      <c r="M674" s="520"/>
      <c r="N674" s="520"/>
      <c r="O674" s="518"/>
      <c r="P674" s="56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6"/>
      <c r="J675" s="529">
        <f ca="1">IFERROR(__xludf.DUMMYFUNCTION("IMPORTRANGE(""https://docs.google.com/spreadsheets/d/1XL5vhW3sbDhbH9Cz0tuDiY8C3ctxq1tqvaCgkFb8cCA/edit#gid=346597447"",""อุดรธานี!J570"")"),0)</f>
        <v>0</v>
      </c>
      <c r="K675" s="534"/>
      <c r="L675" s="520"/>
      <c r="M675" s="520"/>
      <c r="N675" s="520"/>
      <c r="O675" s="518"/>
      <c r="P675" s="56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22"/>
      <c r="H676" s="515" t="s">
        <v>36</v>
      </c>
      <c r="I676" s="536"/>
      <c r="J676" s="529">
        <f ca="1">IFERROR(__xludf.DUMMYFUNCTION("IMPORTRANGE(""https://docs.google.com/spreadsheets/d/1XL5vhW3sbDhbH9Cz0tuDiY8C3ctxq1tqvaCgkFb8cCA/edit#gid=346597447"",""อุดรธานี!J571"")"),0)</f>
        <v>0</v>
      </c>
      <c r="K676" s="534"/>
      <c r="L676" s="520"/>
      <c r="M676" s="520"/>
      <c r="N676" s="520"/>
      <c r="O676" s="518"/>
      <c r="P676" s="568"/>
    </row>
    <row r="677" spans="1:16" ht="21.75" customHeight="1" x14ac:dyDescent="0.3">
      <c r="A677" s="538"/>
      <c r="B677" s="539" t="s">
        <v>259</v>
      </c>
      <c r="C677" s="540"/>
      <c r="D677" s="540"/>
      <c r="E677" s="540"/>
      <c r="F677" s="540"/>
      <c r="G677" s="541"/>
      <c r="H677" s="542" t="s">
        <v>122</v>
      </c>
      <c r="I677" s="543"/>
      <c r="J677" s="544">
        <f ca="1">IFERROR(__xludf.DUMMYFUNCTION("IMPORTRANGE(""https://docs.google.com/spreadsheets/d/1XL5vhW3sbDhbH9Cz0tuDiY8C3ctxq1tqvaCgkFb8cCA/edit#gid=346597447"",""อุดรธานี!J572"")"),0)</f>
        <v>0</v>
      </c>
      <c r="K677" s="545"/>
      <c r="L677" s="546"/>
      <c r="M677" s="546"/>
      <c r="N677" s="546"/>
      <c r="O677" s="545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298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3" t="s">
        <v>15</v>
      </c>
      <c r="B7" s="648"/>
      <c r="C7" s="648"/>
      <c r="D7" s="648"/>
      <c r="E7" s="648"/>
      <c r="F7" s="648"/>
      <c r="G7" s="64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8780625</v>
      </c>
      <c r="M8" s="23">
        <f t="shared" ca="1" si="0"/>
        <v>4389973.24</v>
      </c>
      <c r="N8" s="23">
        <f t="shared" ca="1" si="0"/>
        <v>6491860.0200000005</v>
      </c>
      <c r="O8" s="22">
        <f t="shared" ref="O8:O16" ca="1" si="1">IF(L8&gt;0,N8*100/L8,0)</f>
        <v>73.933917232543237</v>
      </c>
      <c r="P8" s="22">
        <f t="shared" ref="P8:P16" ca="1" si="2">IF(M8&gt;0,N8*100/M8,0)</f>
        <v>147.87926178793745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8780625</v>
      </c>
      <c r="M10" s="30">
        <f t="shared" ca="1" si="4"/>
        <v>4389973.24</v>
      </c>
      <c r="N10" s="30">
        <f t="shared" ca="1" si="4"/>
        <v>6491860.0200000005</v>
      </c>
      <c r="O10" s="29">
        <f t="shared" ca="1" si="1"/>
        <v>73.933917232543237</v>
      </c>
      <c r="P10" s="29">
        <f t="shared" ca="1" si="2"/>
        <v>147.87926178793745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7925670</v>
      </c>
      <c r="M12" s="38">
        <f t="shared" ca="1" si="6"/>
        <v>3535018.24</v>
      </c>
      <c r="N12" s="38">
        <f t="shared" ca="1" si="6"/>
        <v>5636905.0200000005</v>
      </c>
      <c r="O12" s="38">
        <f t="shared" ca="1" si="1"/>
        <v>71.122126205103172</v>
      </c>
      <c r="P12" s="38">
        <f t="shared" ca="1" si="2"/>
        <v>159.45900805309563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5541370</v>
      </c>
      <c r="M14" s="38">
        <f t="shared" si="8"/>
        <v>0</v>
      </c>
      <c r="N14" s="38">
        <f t="shared" ca="1" si="8"/>
        <v>2673548.25</v>
      </c>
      <c r="O14" s="38">
        <f t="shared" ca="1" si="1"/>
        <v>48.247062549513927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854955</v>
      </c>
      <c r="M16" s="38">
        <f t="shared" ca="1" si="10"/>
        <v>854955</v>
      </c>
      <c r="N16" s="38">
        <f t="shared" ca="1" si="10"/>
        <v>854955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3" t="s">
        <v>24</v>
      </c>
      <c r="B17" s="648"/>
      <c r="C17" s="648"/>
      <c r="D17" s="648"/>
      <c r="E17" s="648"/>
      <c r="F17" s="648"/>
      <c r="G17" s="64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5428180</v>
      </c>
      <c r="M18" s="23">
        <f t="shared" ca="1" si="11"/>
        <v>4389973.24</v>
      </c>
      <c r="N18" s="23">
        <f t="shared" ca="1" si="11"/>
        <v>3818311.7700000005</v>
      </c>
      <c r="O18" s="22">
        <f t="shared" ref="O18:O20" ca="1" si="12">IF(L18&gt;0,N18*100/L18,0)</f>
        <v>70.3423941357877</v>
      </c>
      <c r="P18" s="22">
        <f t="shared" ref="P18:P26" ca="1" si="13">IF(M18&gt;0,N18*100/M18,0)</f>
        <v>86.978019255534235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5428180</v>
      </c>
      <c r="M20" s="30">
        <f t="shared" ca="1" si="15"/>
        <v>4389973.24</v>
      </c>
      <c r="N20" s="30">
        <f t="shared" ca="1" si="15"/>
        <v>3818311.7700000005</v>
      </c>
      <c r="O20" s="29">
        <f t="shared" ca="1" si="12"/>
        <v>70.3423941357877</v>
      </c>
      <c r="P20" s="29">
        <f t="shared" ca="1" si="13"/>
        <v>86.978019255534235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4573225</v>
      </c>
      <c r="M22" s="41">
        <f t="shared" ca="1" si="18"/>
        <v>3535018.24</v>
      </c>
      <c r="N22" s="38">
        <f t="shared" ca="1" si="18"/>
        <v>2963356.7700000005</v>
      </c>
      <c r="O22" s="38">
        <f t="shared" ca="1" si="17"/>
        <v>64.797965768139562</v>
      </c>
      <c r="P22" s="38">
        <f t="shared" ca="1" si="13"/>
        <v>83.828613286023682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2188925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854955</v>
      </c>
      <c r="M26" s="49">
        <f t="shared" ca="1" si="22"/>
        <v>854955</v>
      </c>
      <c r="N26" s="49">
        <f t="shared" ca="1" si="22"/>
        <v>854955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3" t="s">
        <v>25</v>
      </c>
      <c r="B27" s="648"/>
      <c r="C27" s="648"/>
      <c r="D27" s="648"/>
      <c r="E27" s="648"/>
      <c r="F27" s="648"/>
      <c r="G27" s="64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3352445</v>
      </c>
      <c r="M28" s="23">
        <f t="shared" si="23"/>
        <v>0</v>
      </c>
      <c r="N28" s="23">
        <f t="shared" ca="1" si="23"/>
        <v>2673548.25</v>
      </c>
      <c r="O28" s="22">
        <f t="shared" ref="O28:O30" ca="1" si="24">IF(L28&gt;0,N28*100/L28,0)</f>
        <v>79.749205430663295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3352445</v>
      </c>
      <c r="M30" s="30">
        <f t="shared" si="27"/>
        <v>0</v>
      </c>
      <c r="N30" s="30">
        <f t="shared" ca="1" si="27"/>
        <v>2673548.25</v>
      </c>
      <c r="O30" s="29">
        <f t="shared" ca="1" si="24"/>
        <v>79.749205430663295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3352445</v>
      </c>
      <c r="M32" s="38">
        <f t="shared" si="30"/>
        <v>0</v>
      </c>
      <c r="N32" s="38">
        <f t="shared" ca="1" si="30"/>
        <v>2673548.25</v>
      </c>
      <c r="O32" s="38">
        <f t="shared" ca="1" si="29"/>
        <v>79.749205430663295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3352445</v>
      </c>
      <c r="M34" s="38">
        <f t="shared" si="32"/>
        <v>0</v>
      </c>
      <c r="N34" s="38">
        <f t="shared" ca="1" si="32"/>
        <v>2673548.25</v>
      </c>
      <c r="O34" s="38">
        <f t="shared" ca="1" si="29"/>
        <v>79.749205430663295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5428180</v>
      </c>
      <c r="M37" s="54">
        <f t="shared" ca="1" si="33"/>
        <v>4389973.24</v>
      </c>
      <c r="N37" s="54">
        <f t="shared" ca="1" si="33"/>
        <v>3818311.7700000005</v>
      </c>
      <c r="O37" s="55">
        <f t="shared" ca="1" si="29"/>
        <v>70.3423941357877</v>
      </c>
      <c r="P37" s="55">
        <f t="shared" ca="1" si="25"/>
        <v>86.978019255534235</v>
      </c>
    </row>
    <row r="38" spans="1:16" ht="21.75" customHeight="1" x14ac:dyDescent="0.3">
      <c r="A38" s="647" t="s">
        <v>27</v>
      </c>
      <c r="B38" s="648"/>
      <c r="C38" s="648"/>
      <c r="D38" s="648"/>
      <c r="E38" s="648"/>
      <c r="F38" s="648"/>
      <c r="G38" s="64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0" t="s">
        <v>28</v>
      </c>
      <c r="C39" s="641"/>
      <c r="D39" s="641"/>
      <c r="E39" s="641"/>
      <c r="F39" s="641"/>
      <c r="G39" s="64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1717055</v>
      </c>
      <c r="M41" s="78">
        <f t="shared" ca="1" si="34"/>
        <v>1478555</v>
      </c>
      <c r="N41" s="78">
        <f t="shared" ca="1" si="34"/>
        <v>1398177.37</v>
      </c>
      <c r="O41" s="77">
        <f t="shared" ref="O41:O43" ca="1" si="35">IF(L41&gt;0,N41*100/L41,0)</f>
        <v>81.42880513437251</v>
      </c>
      <c r="P41" s="77">
        <f t="shared" ref="P41:P43" ca="1" si="36">IF(M41&gt;0,N41*100/M41,0)</f>
        <v>94.563771384899439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1717055</v>
      </c>
      <c r="M43" s="78">
        <f t="shared" ca="1" si="38"/>
        <v>1478555</v>
      </c>
      <c r="N43" s="78">
        <f t="shared" ca="1" si="38"/>
        <v>1398177.37</v>
      </c>
      <c r="O43" s="77">
        <f t="shared" ca="1" si="35"/>
        <v>81.42880513437251</v>
      </c>
      <c r="P43" s="77">
        <f t="shared" ca="1" si="36"/>
        <v>94.563771384899439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954100</v>
      </c>
      <c r="M45" s="49">
        <f ca="1">IFERROR(__xludf.DUMMYFUNCTION("IMPORTRANGE(""https://docs.google.com/spreadsheets/d/1Yj_ptqi66GCucihVvJfMjLAmec39IyEx_6qawtMGysU/edit?usp=sharing"",""สบก!Q57"")"),715600)</f>
        <v>715600</v>
      </c>
      <c r="N45" s="49">
        <f ca="1">IFERROR(__xludf.DUMMYFUNCTION("IMPORTRANGE(""https://docs.google.com/spreadsheets/d/1Yj_ptqi66GCucihVvJfMjLAmec39IyEx_6qawtMGysU/edit?usp=sharing"",""สบก!R57"")"),635222.37)</f>
        <v>635222.37</v>
      </c>
      <c r="O45" s="38">
        <f ca="1">IF(L45&gt;0,N45*100/L45,0)</f>
        <v>66.578175243685152</v>
      </c>
      <c r="P45" s="38">
        <f ca="1">IF(M45&gt;0,N45*100/M45,0)</f>
        <v>88.767799049748461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IFERROR(__xludf.DUMMYFUNCTION("IMPORTRANGE(""https://docs.google.com/spreadsheets/d/1Yj_ptqi66GCucihVvJfMjLAmec39IyEx_6qawtMGysU/edit?usp=sharing"",""สบก!M57"")"),954100)</f>
        <v>954100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IFERROR(__xludf.DUMMYFUNCTION("IMPORTRANGE(""https://docs.google.com/spreadsheets/d/1Yj_ptqi66GCucihVvJfMjLAmec39IyEx_6qawtMGysU/edit?usp=sharing"",""สบก!O57"")"),762955)</f>
        <v>762955</v>
      </c>
      <c r="M49" s="49">
        <f ca="1">L49</f>
        <v>762955</v>
      </c>
      <c r="N49" s="49">
        <f ca="1">IFERROR(__xludf.DUMMYFUNCTION("IMPORTRANGE(""https://docs.google.com/spreadsheets/d/1Yj_ptqi66GCucihVvJfMjLAmec39IyEx_6qawtMGysU/edit?usp=sharing"",""สบก!S57"")"),762955)</f>
        <v>762955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460800</v>
      </c>
      <c r="M53" s="121">
        <f t="shared" ca="1" si="39"/>
        <v>400353.24</v>
      </c>
      <c r="N53" s="121">
        <f t="shared" ca="1" si="39"/>
        <v>344098</v>
      </c>
      <c r="O53" s="120">
        <f t="shared" ref="O53:O55" ca="1" si="40">IF(L53&gt;0,N53*100/L53,0)</f>
        <v>74.674045138888886</v>
      </c>
      <c r="P53" s="120">
        <f t="shared" ref="P53:P55" ca="1" si="41">IF(M53&gt;0,N53*100/M53,0)</f>
        <v>85.948598792406429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460800</v>
      </c>
      <c r="M55" s="121">
        <f t="shared" ca="1" si="43"/>
        <v>400353.24</v>
      </c>
      <c r="N55" s="121">
        <f t="shared" ca="1" si="43"/>
        <v>344098</v>
      </c>
      <c r="O55" s="120">
        <f t="shared" ca="1" si="40"/>
        <v>74.674045138888886</v>
      </c>
      <c r="P55" s="120">
        <f t="shared" ca="1" si="41"/>
        <v>85.948598792406429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460800</v>
      </c>
      <c r="M57" s="49">
        <f ca="1">IFERROR(__xludf.DUMMYFUNCTION("IMPORTRANGE(""https://docs.google.com/spreadsheets/d/1Yj_ptqi66GCucihVvJfMjLAmec39IyEx_6qawtMGysU/edit?usp=sharing"",""สบก!Z57"")"),400353.24)</f>
        <v>400353.24</v>
      </c>
      <c r="N57" s="49">
        <f ca="1">IFERROR(__xludf.DUMMYFUNCTION("IMPORTRANGE(""https://docs.google.com/spreadsheets/d/1Yj_ptqi66GCucihVvJfMjLAmec39IyEx_6qawtMGysU/edit?usp=sharing"",""สบก!AA57"")"),344098)</f>
        <v>344098</v>
      </c>
      <c r="O57" s="38">
        <f ca="1">IF(L57&gt;0,N57*100/L57,0)</f>
        <v>74.674045138888886</v>
      </c>
      <c r="P57" s="38">
        <f ca="1">IF(M57&gt;0,N57*100/M57,0)</f>
        <v>85.948598792406429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IFERROR(__xludf.DUMMYFUNCTION("IMPORTRANGE(""https://docs.google.com/spreadsheets/d/1Yj_ptqi66GCucihVvJfMjLAmec39IyEx_6qawtMGysU/edit?usp=sharing"",""สบก!V57"")"),460800)</f>
        <v>460800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136689.29999999999</v>
      </c>
      <c r="O94" s="151">
        <f t="shared" ref="O94:O96" ca="1" si="53">IF(L94&gt;0,N94*100/L94,0)</f>
        <v>63.843671181690787</v>
      </c>
      <c r="P94" s="151">
        <f t="shared" ref="P94:P96" ca="1" si="54">IF(M94&gt;0,N94*100/M94,0)</f>
        <v>70.438432403184649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194055</v>
      </c>
      <c r="N96" s="157">
        <f t="shared" ca="1" si="56"/>
        <v>136689.29999999999</v>
      </c>
      <c r="O96" s="156">
        <f t="shared" ca="1" si="53"/>
        <v>63.843671181690787</v>
      </c>
      <c r="P96" s="156">
        <f t="shared" ca="1" si="54"/>
        <v>70.438432403184649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IFERROR(__xludf.DUMMYFUNCTION("IMPORTRANGE(""https://docs.google.com/spreadsheets/d/1Yj_ptqi66GCucihVvJfMjLAmec39IyEx_6qawtMGysU/edit?usp=sharing"",""สบก!AR57"")"),102055)</f>
        <v>102055</v>
      </c>
      <c r="N98" s="169">
        <f ca="1">IFERROR(__xludf.DUMMYFUNCTION("IMPORTRANGE(""https://docs.google.com/spreadsheets/d/1Yj_ptqi66GCucihVvJfMjLAmec39IyEx_6qawtMGysU/edit?usp=sharing"",""สบก!AS57"")"),44689.3)</f>
        <v>44689.3</v>
      </c>
      <c r="O98" s="169">
        <f ca="1">IF(L98&gt;0,N98*100/L98,0)</f>
        <v>36.600573300573302</v>
      </c>
      <c r="P98" s="169">
        <f ca="1">IF(M98&gt;0,N98*100/M98,0)</f>
        <v>43.789427269609526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IFERROR(__xludf.DUMMYFUNCTION("IMPORTRANGE(""https://docs.google.com/spreadsheets/d/1XL5vhW3sbDhbH9Cz0tuDiY8C3ctxq1tqvaCgkFb8cCA/edit?usp=sharing"",""อุบลราชธานี!J50"")"),0)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299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IFERROR(__xludf.DUMMYFUNCTION("IMPORTRANGE(""https://docs.google.com/spreadsheets/d/1XL5vhW3sbDhbH9Cz0tuDiY8C3ctxq1tqvaCgkFb8cCA/edit?usp=sharing"",""อุบลราชธานี!J65"")"),0)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IFERROR(__xludf.DUMMYFUNCTION("IMPORTRANGE(""https://docs.google.com/spreadsheets/d/1XL5vhW3sbDhbH9Cz0tuDiY8C3ctxq1tqvaCgkFb8cCA/edit?usp=sharing"",""อุบลราชธานี!I68"")"),50)</f>
        <v>50</v>
      </c>
      <c r="J138" s="267">
        <f ca="1">IFERROR(__xludf.DUMMYFUNCTION("IMPORTRANGE(""https://docs.google.com/spreadsheets/d/1XL5vhW3sbDhbH9Cz0tuDiY8C3ctxq1tqvaCgkFb8cCA/edit?usp=sharing"",""อุบลราชธานี!J68"")"),50)</f>
        <v>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912850</v>
      </c>
      <c r="M140" s="152">
        <f t="shared" ca="1" si="64"/>
        <v>736275</v>
      </c>
      <c r="N140" s="152">
        <f t="shared" ca="1" si="64"/>
        <v>697479.7</v>
      </c>
      <c r="O140" s="151">
        <f t="shared" ref="O140:O142" ca="1" si="65">IF(L140&gt;0,N140*100/L140,0)</f>
        <v>76.40682477953662</v>
      </c>
      <c r="P140" s="151">
        <f t="shared" ref="P140:P142" ca="1" si="66">IF(M140&gt;0,N140*100/M140,0)</f>
        <v>94.730868221792136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912850</v>
      </c>
      <c r="M142" s="157">
        <f t="shared" ca="1" si="68"/>
        <v>736275</v>
      </c>
      <c r="N142" s="157">
        <f t="shared" ca="1" si="68"/>
        <v>697479.7</v>
      </c>
      <c r="O142" s="156">
        <f t="shared" ca="1" si="65"/>
        <v>76.40682477953662</v>
      </c>
      <c r="P142" s="156">
        <f t="shared" ca="1" si="66"/>
        <v>94.730868221792136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912850</v>
      </c>
      <c r="M144" s="168">
        <f ca="1">IFERROR(__xludf.DUMMYFUNCTION("IMPORTRANGE(""https://docs.google.com/spreadsheets/d/1Yj_ptqi66GCucihVvJfMjLAmec39IyEx_6qawtMGysU/edit?usp=sharing"",""สบก!BJ57"")"),736275)</f>
        <v>736275</v>
      </c>
      <c r="N144" s="169">
        <f ca="1">IFERROR(__xludf.DUMMYFUNCTION("IMPORTRANGE(""https://docs.google.com/spreadsheets/d/1Yj_ptqi66GCucihVvJfMjLAmec39IyEx_6qawtMGysU/edit?usp=sharing"",""สบก!BK57"")"),697479.7)</f>
        <v>697479.7</v>
      </c>
      <c r="O144" s="169">
        <f ca="1">IF(L144&gt;0,N144*100/L144,0)</f>
        <v>76.40682477953662</v>
      </c>
      <c r="P144" s="169">
        <f ca="1">IF(M144&gt;0,N144*100/M144,0)</f>
        <v>94.730868221792136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IFERROR(__xludf.DUMMYFUNCTION("IMPORTRANGE(""https://docs.google.com/spreadsheets/d/1Yj_ptqi66GCucihVvJfMjLAmec39IyEx_6qawtMGysU/edit?usp=sharing"",""สบก!BG57"")"),443850)</f>
        <v>443850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IFERROR(__xludf.DUMMYFUNCTION("IMPORTRANGE(""https://docs.google.com/spreadsheets/d/1XL5vhW3sbDhbH9Cz0tuDiY8C3ctxq1tqvaCgkFb8cCA/edit?usp=sharing"",""อุบลราชธานี!I74"")"),4)</f>
        <v>4</v>
      </c>
      <c r="J149" s="275">
        <f ca="1">IFERROR(__xludf.DUMMYFUNCTION("IMPORTRANGE(""https://docs.google.com/spreadsheets/d/1XL5vhW3sbDhbH9Cz0tuDiY8C3ctxq1tqvaCgkFb8cCA/edit?usp=sharing"",""อุบลราชธานี!J74"")"),2)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IFERROR(__xludf.DUMMYFUNCTION("IMPORTRANGE(""https://docs.google.com/spreadsheets/d/1XL5vhW3sbDhbH9Cz0tuDiY8C3ctxq1tqvaCgkFb8cCA/edit?usp=sharing"",""อุบลราชธานี!J85"")"),76)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IFERROR(__xludf.DUMMYFUNCTION("IMPORTRANGE(""https://docs.google.com/spreadsheets/d/1XL5vhW3sbDhbH9Cz0tuDiY8C3ctxq1tqvaCgkFb8cCA/edit?usp=sharing"",""อุบลราชธานี!J88"")"),0)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IFERROR(__xludf.DUMMYFUNCTION("IMPORTRANGE(""https://docs.google.com/spreadsheets/d/1XL5vhW3sbDhbH9Cz0tuDiY8C3ctxq1tqvaCgkFb8cCA/edit?usp=sharing"",""อุบลราชธานี!I89"")"),4)</f>
        <v>4</v>
      </c>
      <c r="J164" s="284">
        <f ca="1">IFERROR(__xludf.DUMMYFUNCTION("IMPORTRANGE(""https://docs.google.com/spreadsheets/d/1XL5vhW3sbDhbH9Cz0tuDiY8C3ctxq1tqvaCgkFb8cCA/edit?usp=sharing"",""อุบลราชธานี!J89"")"),4)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IFERROR(__xludf.DUMMYFUNCTION("IMPORTRANGE(""https://docs.google.com/spreadsheets/d/1XL5vhW3sbDhbH9Cz0tuDiY8C3ctxq1tqvaCgkFb8cCA/edit?usp=sharing"",""อุบลราชธานี!J100"")"),1)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IFERROR(__xludf.DUMMYFUNCTION("IMPORTRANGE(""https://docs.google.com/spreadsheets/d/1XL5vhW3sbDhbH9Cz0tuDiY8C3ctxq1tqvaCgkFb8cCA/edit?usp=sharing"",""อุบลราชธานี!I101"")"),2)</f>
        <v>2</v>
      </c>
      <c r="J176" s="284">
        <f ca="1">IFERROR(__xludf.DUMMYFUNCTION("IMPORTRANGE(""https://docs.google.com/spreadsheets/d/1XL5vhW3sbDhbH9Cz0tuDiY8C3ctxq1tqvaCgkFb8cCA/edit?usp=sharing"",""อุบลราชธานี!J101"")"),2)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IFERROR(__xludf.DUMMYFUNCTION("IMPORTRANGE(""https://docs.google.com/spreadsheets/d/1XL5vhW3sbDhbH9Cz0tuDiY8C3ctxq1tqvaCgkFb8cCA/edit?usp=sharing"",""อุบลราชธานี!J113"")"),1)</f>
        <v>1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4">
        <f ca="1">IFERROR(__xludf.DUMMYFUNCTION("IMPORTRANGE(""https://docs.google.com/spreadsheets/d/1XL5vhW3sbDhbH9Cz0tuDiY8C3ctxq1tqvaCgkFb8cCA/edit?usp=sharing"",""อุบลราชธานี!J114"")"),0)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IFERROR(__xludf.DUMMYFUNCTION("IMPORTRANGE(""https://docs.google.com/spreadsheets/d/1XL5vhW3sbDhbH9Cz0tuDiY8C3ctxq1tqvaCgkFb8cCA/edit?usp=sharing"",""อุบลราชธานี!J128"")"),0)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IFERROR(__xludf.DUMMYFUNCTION("IMPORTRANGE(""https://docs.google.com/spreadsheets/d/1XL5vhW3sbDhbH9Cz0tuDiY8C3ctxq1tqvaCgkFb8cCA/edit?usp=sharing"",""อุบลราชธานี!I129"")"),50)</f>
        <v>50</v>
      </c>
      <c r="J204" s="284">
        <f ca="1">IFERROR(__xludf.DUMMYFUNCTION("IMPORTRANGE(""https://docs.google.com/spreadsheets/d/1XL5vhW3sbDhbH9Cz0tuDiY8C3ctxq1tqvaCgkFb8cCA/edit?usp=sharing"",""อุบลราชธานี!J129"")"),50)</f>
        <v>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IFERROR(__xludf.DUMMYFUNCTION("IMPORTRANGE(""https://docs.google.com/spreadsheets/d/1XL5vhW3sbDhbH9Cz0tuDiY8C3ctxq1tqvaCgkFb8cCA/edit?usp=sharing"",""อุบลราชธานี!J135"")"),1)</f>
        <v>1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IFERROR(__xludf.DUMMYFUNCTION("IMPORTRANGE(""https://docs.google.com/spreadsheets/d/1XL5vhW3sbDhbH9Cz0tuDiY8C3ctxq1tqvaCgkFb8cCA/edit?usp=sharing"",""อุบลราชธานี!J136"")"),1)</f>
        <v>1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IFERROR(__xludf.DUMMYFUNCTION("IMPORTRANGE(""https://docs.google.com/spreadsheets/d/1XL5vhW3sbDhbH9Cz0tuDiY8C3ctxq1tqvaCgkFb8cCA/edit?usp=sharing"",""อุบลราชธานี!J137"")"),1)</f>
        <v>1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4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IFERROR(__xludf.DUMMYFUNCTION("IMPORTRANGE(""https://docs.google.com/spreadsheets/d/1XL5vhW3sbDhbH9Cz0tuDiY8C3ctxq1tqvaCgkFb8cCA/edit?usp=sharing"",""อุบลราชธานี!J141"")"),15)</f>
        <v>15</v>
      </c>
      <c r="K216" s="224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IFERROR(__xludf.DUMMYFUNCTION("IMPORTRANGE(""https://docs.google.com/spreadsheets/d/1XL5vhW3sbDhbH9Cz0tuDiY8C3ctxq1tqvaCgkFb8cCA/edit?usp=sharing"",""อุบลราชธานี!J143"")"),0)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IFERROR(__xludf.DUMMYFUNCTION("IMPORTRANGE(""https://docs.google.com/spreadsheets/d/1XL5vhW3sbDhbH9Cz0tuDiY8C3ctxq1tqvaCgkFb8cCA/edit?usp=sharing"",""อุบลราชธานี!I144"")"),15)</f>
        <v>15</v>
      </c>
      <c r="J219" s="267">
        <f ca="1">IFERROR(__xludf.DUMMYFUNCTION("IMPORTRANGE(""https://docs.google.com/spreadsheets/d/1XL5vhW3sbDhbH9Cz0tuDiY8C3ctxq1tqvaCgkFb8cCA/edit?usp=sharing"",""อุบลราชธานี!J144"")"),15)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IFERROR(__xludf.DUMMYFUNCTION("IMPORTRANGE(""https://docs.google.com/spreadsheets/d/1Yj_ptqi66GCucihVvJfMjLAmec39IyEx_6qawtMGysU/edit?usp=sharing"",""สบก!BS57"")"),21125)</f>
        <v>21125</v>
      </c>
      <c r="N224" s="169">
        <f ca="1">IFERROR(__xludf.DUMMYFUNCTION("IMPORTRANGE(""https://docs.google.com/spreadsheets/d/1Yj_ptqi66GCucihVvJfMjLAmec39IyEx_6qawtMGysU/edit?usp=sharing"",""สบก!BT57"")"),0)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IFERROR(__xludf.DUMMYFUNCTION("IMPORTRANGE(""https://docs.google.com/spreadsheets/d/1XL5vhW3sbDhbH9Cz0tuDiY8C3ctxq1tqvaCgkFb8cCA/edit?usp=sharing"",""อุบลราชธานี!I149"")"),15)</f>
        <v>15</v>
      </c>
      <c r="J229" s="267">
        <f ca="1">IFERROR(__xludf.DUMMYFUNCTION("IMPORTRANGE(""https://docs.google.com/spreadsheets/d/1XL5vhW3sbDhbH9Cz0tuDiY8C3ctxq1tqvaCgkFb8cCA/edit?usp=sharing"",""อุบลราชธานี!J149"")"),15)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IFERROR(__xludf.DUMMYFUNCTION("IMPORTRANGE(""https://docs.google.com/spreadsheets/d/1XL5vhW3sbDhbH9Cz0tuDiY8C3ctxq1tqvaCgkFb8cCA/edit?usp=sharing"",""อุบลราชธานี!J157"")"),1)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IFERROR(__xludf.DUMMYFUNCTION("IMPORTRANGE(""https://docs.google.com/spreadsheets/d/1XL5vhW3sbDhbH9Cz0tuDiY8C3ctxq1tqvaCgkFb8cCA/edit?usp=sharing"",""อุบลราชธานี!I158"")"),0)</f>
        <v>0</v>
      </c>
      <c r="J238" s="267">
        <f ca="1">IFERROR(__xludf.DUMMYFUNCTION("IMPORTRANGE(""https://docs.google.com/spreadsheets/d/1XL5vhW3sbDhbH9Cz0tuDiY8C3ctxq1tqvaCgkFb8cCA/edit?usp=sharing"",""อุบลราชธานี!J158"")"),0)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IFERROR(__xludf.DUMMYFUNCTION("IMPORTRANGE(""https://docs.google.com/spreadsheets/d/1XL5vhW3sbDhbH9Cz0tuDiY8C3ctxq1tqvaCgkFb8cCA/edit?usp=sharing"",""อุบลราชธานี!J166"")"),0)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IFERROR(__xludf.DUMMYFUNCTION("IMPORTRANGE(""https://docs.google.com/spreadsheets/d/1XL5vhW3sbDhbH9Cz0tuDiY8C3ctxq1tqvaCgkFb8cCA/edit?usp=sharing"",""อุบลราชธานี!I169"")"),25)</f>
        <v>25</v>
      </c>
      <c r="J249" s="316">
        <f ca="1">IFERROR(__xludf.DUMMYFUNCTION("IMPORTRANGE(""https://docs.google.com/spreadsheets/d/1XL5vhW3sbDhbH9Cz0tuDiY8C3ctxq1tqvaCgkFb8cCA/edit?usp=sharing"",""อุบลราชธานี!J169"")"),25)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43017.75</v>
      </c>
      <c r="O250" s="151">
        <f t="shared" ref="O250:O252" ca="1" si="78">IF(L250&gt;0,N250*100/L250,0)</f>
        <v>48.334550561797755</v>
      </c>
      <c r="P250" s="151">
        <f t="shared" ref="P250:P252" ca="1" si="79">IF(M250&gt;0,N250*100/M250,0)</f>
        <v>90.563684210526318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43017.75</v>
      </c>
      <c r="O252" s="156">
        <f t="shared" ca="1" si="78"/>
        <v>48.334550561797755</v>
      </c>
      <c r="P252" s="156">
        <f t="shared" ca="1" si="79"/>
        <v>90.563684210526318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IFERROR(__xludf.DUMMYFUNCTION("IMPORTRANGE(""https://docs.google.com/spreadsheets/d/1Yj_ptqi66GCucihVvJfMjLAmec39IyEx_6qawtMGysU/edit?usp=sharing"",""สบก!CB57"")"),47500)</f>
        <v>47500</v>
      </c>
      <c r="N254" s="169">
        <f ca="1">IFERROR(__xludf.DUMMYFUNCTION("IMPORTRANGE(""https://docs.google.com/spreadsheets/d/1Yj_ptqi66GCucihVvJfMjLAmec39IyEx_6qawtMGysU/edit?usp=sharing"",""สบก!CC57"")"),43017.75)</f>
        <v>43017.75</v>
      </c>
      <c r="O254" s="169">
        <f ca="1">IF(L254&gt;0,N254*100/L254,0)</f>
        <v>48.334550561797755</v>
      </c>
      <c r="P254" s="169">
        <f ca="1">IF(M254&gt;0,N254*100/M254,0)</f>
        <v>90.563684210526318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IFERROR(__xludf.DUMMYFUNCTION("IMPORTRANGE(""https://docs.google.com/spreadsheets/d/1XL5vhW3sbDhbH9Cz0tuDiY8C3ctxq1tqvaCgkFb8cCA/edit?usp=sharing"",""อุบลราชธานี!J184"")"),0)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IFERROR(__xludf.DUMMYFUNCTION("IMPORTRANGE(""https://docs.google.com/spreadsheets/d/1XL5vhW3sbDhbH9Cz0tuDiY8C3ctxq1tqvaCgkFb8cCA/edit?usp=sharing"",""อุบลราชธานี!I185"")"),20)</f>
        <v>20</v>
      </c>
      <c r="J270" s="316">
        <f ca="1">IFERROR(__xludf.DUMMYFUNCTION("IMPORTRANGE(""https://docs.google.com/spreadsheets/d/1XL5vhW3sbDhbH9Cz0tuDiY8C3ctxq1tqvaCgkFb8cCA/edit?usp=sharing"",""อุบลราชธานี!J185"")"),20)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107227.1</v>
      </c>
      <c r="O271" s="151">
        <f t="shared" ref="O271:O273" ca="1" si="84">IF(L271&gt;0,N271*100/L271,0)</f>
        <v>58.402559912854031</v>
      </c>
      <c r="P271" s="151">
        <f t="shared" ref="P271:P273" ca="1" si="85">IF(M271&gt;0,N271*100/M271,0)</f>
        <v>66.353403465346531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107227.1</v>
      </c>
      <c r="O273" s="156">
        <f t="shared" ca="1" si="84"/>
        <v>58.402559912854031</v>
      </c>
      <c r="P273" s="156">
        <f t="shared" ca="1" si="85"/>
        <v>66.353403465346531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IFERROR(__xludf.DUMMYFUNCTION("IMPORTRANGE(""https://docs.google.com/spreadsheets/d/1Yj_ptqi66GCucihVvJfMjLAmec39IyEx_6qawtMGysU/edit?usp=sharing"",""สบก!CK57"")"),161600)</f>
        <v>161600</v>
      </c>
      <c r="N275" s="169">
        <f ca="1">IFERROR(__xludf.DUMMYFUNCTION("IMPORTRANGE(""https://docs.google.com/spreadsheets/d/1Yj_ptqi66GCucihVvJfMjLAmec39IyEx_6qawtMGysU/edit?usp=sharing"",""สบก!CL57"")"),107227.1)</f>
        <v>107227.1</v>
      </c>
      <c r="O275" s="169">
        <f ca="1">IF(L275&gt;0,N275*100/L275,0)</f>
        <v>58.402559912854031</v>
      </c>
      <c r="P275" s="169">
        <f ca="1">IF(M275&gt;0,N275*100/M275,0)</f>
        <v>66.353403465346531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IFERROR(__xludf.DUMMYFUNCTION("IMPORTRANGE(""https://docs.google.com/spreadsheets/d/1XL5vhW3sbDhbH9Cz0tuDiY8C3ctxq1tqvaCgkFb8cCA/edit?usp=sharing"",""อุบลราชธานี!J197"")"),0)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IFERROR(__xludf.DUMMYFUNCTION("IMPORTRANGE(""https://docs.google.com/spreadsheets/d/1XL5vhW3sbDhbH9Cz0tuDiY8C3ctxq1tqvaCgkFb8cCA/edit?usp=sharing"",""อุบลราชธานี!I199"")"),0)</f>
        <v>0</v>
      </c>
      <c r="J289" s="316">
        <f ca="1">IFERROR(__xludf.DUMMYFUNCTION("IMPORTRANGE(""https://docs.google.com/spreadsheets/d/1XL5vhW3sbDhbH9Cz0tuDiY8C3ctxq1tqvaCgkFb8cCA/edit?usp=sharing"",""อุบลราชธานี!J199"")"),0)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IFERROR(__xludf.DUMMYFUNCTION("IMPORTRANGE(""https://docs.google.com/spreadsheets/d/1XL5vhW3sbDhbH9Cz0tuDiY8C3ctxq1tqvaCgkFb8cCA/edit?usp=sharing"",""อุบลราชธานี!J213"")"),0)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IFERROR(__xludf.DUMMYFUNCTION("IMPORTRANGE(""https://docs.google.com/spreadsheets/d/1XL5vhW3sbDhbH9Cz0tuDiY8C3ctxq1tqvaCgkFb8cCA/edit?usp=sharing"",""อุบลราชธานี!I214"")"),0)</f>
        <v>0</v>
      </c>
      <c r="J309" s="333">
        <f ca="1">IFERROR(__xludf.DUMMYFUNCTION("IMPORTRANGE(""https://docs.google.com/spreadsheets/d/1XL5vhW3sbDhbH9Cz0tuDiY8C3ctxq1tqvaCgkFb8cCA/edit?usp=sharing"",""อุบลราชธานี!J214"")"),0)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IFERROR(__xludf.DUMMYFUNCTION("IMPORTRANGE(""https://docs.google.com/spreadsheets/d/1XL5vhW3sbDhbH9Cz0tuDiY8C3ctxq1tqvaCgkFb8cCA/edit?usp=sharing"",""อุบลราชธานี!J226"")"),0)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IFERROR(__xludf.DUMMYFUNCTION("IMPORTRANGE(""https://docs.google.com/spreadsheets/d/1XL5vhW3sbDhbH9Cz0tuDiY8C3ctxq1tqvaCgkFb8cCA/edit?usp=sharing"",""อุบลราชธานี!I228"")"),1120)</f>
        <v>1120</v>
      </c>
      <c r="J328" s="339">
        <f ca="1">IFERROR(__xludf.DUMMYFUNCTION("IMPORTRANGE(""https://docs.google.com/spreadsheets/d/1XL5vhW3sbDhbH9Cz0tuDiY8C3ctxq1tqvaCgkFb8cCA/edit?usp=sharing"",""อุบลราชธานี!J228"")"),307)</f>
        <v>307</v>
      </c>
      <c r="K328" s="317">
        <f ca="1">IF(I328&gt;0,J328*100/I328,0)</f>
        <v>27.410714285714285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1829650</v>
      </c>
      <c r="M329" s="152">
        <f t="shared" ca="1" si="98"/>
        <v>1350510</v>
      </c>
      <c r="N329" s="152">
        <f t="shared" ca="1" si="98"/>
        <v>1091622.55</v>
      </c>
      <c r="O329" s="151">
        <f t="shared" ref="O329:O331" ca="1" si="99">IF(L329&gt;0,N329*100/L329,0)</f>
        <v>59.662916404776873</v>
      </c>
      <c r="P329" s="151">
        <f t="shared" ref="P329:P331" ca="1" si="100">IF(M329&gt;0,N329*100/M329,0)</f>
        <v>80.830393703119569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1829650</v>
      </c>
      <c r="M331" s="157">
        <f t="shared" ca="1" si="102"/>
        <v>1350510</v>
      </c>
      <c r="N331" s="157">
        <f t="shared" ca="1" si="102"/>
        <v>1091622.55</v>
      </c>
      <c r="O331" s="156">
        <f t="shared" ca="1" si="99"/>
        <v>59.662916404776873</v>
      </c>
      <c r="P331" s="156">
        <f t="shared" ca="1" si="100"/>
        <v>80.830393703119569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1829650</v>
      </c>
      <c r="M333" s="168">
        <f ca="1">IFERROR(__xludf.DUMMYFUNCTION("IMPORTRANGE(""https://docs.google.com/spreadsheets/d/1Yj_ptqi66GCucihVvJfMjLAmec39IyEx_6qawtMGysU/edit?usp=sharing"",""สบก!DL57"")"),1350510)</f>
        <v>1350510</v>
      </c>
      <c r="N333" s="169">
        <f ca="1">IFERROR(__xludf.DUMMYFUNCTION("IMPORTRANGE(""https://docs.google.com/spreadsheets/d/1Yj_ptqi66GCucihVvJfMjLAmec39IyEx_6qawtMGysU/edit?usp=sharing"",""สบก!DM57"")"),1091622.55)</f>
        <v>1091622.55</v>
      </c>
      <c r="O333" s="169">
        <f ca="1">IF(L333&gt;0,N333*100/L333,0)</f>
        <v>59.662916404776873</v>
      </c>
      <c r="P333" s="169">
        <f ca="1">IF(M333&gt;0,N333*100/M333,0)</f>
        <v>80.830393703119569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IFERROR(__xludf.DUMMYFUNCTION("IMPORTRANGE(""https://docs.google.com/spreadsheets/d/1Yj_ptqi66GCucihVvJfMjLAmec39IyEx_6qawtMGysU/edit?usp=sharing"",""สบก!DI57"")"),1329250)</f>
        <v>1329250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IFERROR(__xludf.DUMMYFUNCTION("IMPORTRANGE(""https://docs.google.com/spreadsheets/d/1XL5vhW3sbDhbH9Cz0tuDiY8C3ctxq1tqvaCgkFb8cCA/edit?usp=sharing"",""อุบลราชธานี!J234"")"),760)</f>
        <v>760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IFERROR(__xludf.DUMMYFUNCTION("IMPORTRANGE(""https://docs.google.com/spreadsheets/d/1XL5vhW3sbDhbH9Cz0tuDiY8C3ctxq1tqvaCgkFb8cCA/edit?usp=sharing"",""อุบลราชธานี!I235"")"),9640)</f>
        <v>9640</v>
      </c>
      <c r="J340" s="188">
        <f ca="1">IFERROR(__xludf.DUMMYFUNCTION("IMPORTRANGE(""https://docs.google.com/spreadsheets/d/1XL5vhW3sbDhbH9Cz0tuDiY8C3ctxq1tqvaCgkFb8cCA/edit?usp=sharing"",""อุบลราชธานี!J235"")"),5422.05999999999)</f>
        <v>5422.0599999999904</v>
      </c>
      <c r="K340" s="342">
        <f t="shared" ca="1" si="103"/>
        <v>56.245435684647205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IFERROR(__xludf.DUMMYFUNCTION("IMPORTRANGE(""https://docs.google.com/spreadsheets/d/1XL5vhW3sbDhbH9Cz0tuDiY8C3ctxq1tqvaCgkFb8cCA/edit?usp=sharing"",""อุบลราชธานี!I236"")"),1120)</f>
        <v>1120</v>
      </c>
      <c r="J341" s="188">
        <f ca="1">IFERROR(__xludf.DUMMYFUNCTION("IMPORTRANGE(""https://docs.google.com/spreadsheets/d/1XL5vhW3sbDhbH9Cz0tuDiY8C3ctxq1tqvaCgkFb8cCA/edit?usp=sharing"",""อุบลราชธานี!J236"")"),716)</f>
        <v>716</v>
      </c>
      <c r="K341" s="342">
        <f t="shared" ca="1" si="103"/>
        <v>63.928571428571431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IFERROR(__xludf.DUMMYFUNCTION("IMPORTRANGE(""https://docs.google.com/spreadsheets/d/1XL5vhW3sbDhbH9Cz0tuDiY8C3ctxq1tqvaCgkFb8cCA/edit?usp=sharing"",""อุบลราชธานี!J237"")"),6642.66)</f>
        <v>6642.66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IFERROR(__xludf.DUMMYFUNCTION("IMPORTRANGE(""https://docs.google.com/spreadsheets/d/1XL5vhW3sbDhbH9Cz0tuDiY8C3ctxq1tqvaCgkFb8cCA/edit?usp=sharing"",""อุบลราชธานี!I238"")"),1120)</f>
        <v>1120</v>
      </c>
      <c r="J343" s="188">
        <f ca="1">IFERROR(__xludf.DUMMYFUNCTION("IMPORTRANGE(""https://docs.google.com/spreadsheets/d/1XL5vhW3sbDhbH9Cz0tuDiY8C3ctxq1tqvaCgkFb8cCA/edit?usp=sharing"",""อุบลราชธานี!J238"")"),130)</f>
        <v>130</v>
      </c>
      <c r="K343" s="342">
        <f t="shared" ca="1" si="103"/>
        <v>11.607142857142858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IFERROR(__xludf.DUMMYFUNCTION("IMPORTRANGE(""https://docs.google.com/spreadsheets/d/1XL5vhW3sbDhbH9Cz0tuDiY8C3ctxq1tqvaCgkFb8cCA/edit?usp=sharing"",""อุบลราชธานี!J239"")"),1466.9)</f>
        <v>1466.9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IFERROR(__xludf.DUMMYFUNCTION("IMPORTRANGE(""https://docs.google.com/spreadsheets/d/1XL5vhW3sbDhbH9Cz0tuDiY8C3ctxq1tqvaCgkFb8cCA/edit?usp=sharing"",""อุบลราชธานี!I240"")"),1120)</f>
        <v>1120</v>
      </c>
      <c r="J345" s="188">
        <f ca="1">IFERROR(__xludf.DUMMYFUNCTION("IMPORTRANGE(""https://docs.google.com/spreadsheets/d/1XL5vhW3sbDhbH9Cz0tuDiY8C3ctxq1tqvaCgkFb8cCA/edit?usp=sharing"",""อุบลราชธานี!J240"")"),307)</f>
        <v>307</v>
      </c>
      <c r="K345" s="342">
        <f t="shared" ca="1" si="103"/>
        <v>27.410714285714285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IFERROR(__xludf.DUMMYFUNCTION("IMPORTRANGE(""https://docs.google.com/spreadsheets/d/1XL5vhW3sbDhbH9Cz0tuDiY8C3ctxq1tqvaCgkFb8cCA/edit?usp=sharing"",""อุบลราชธานี!J241"")"),3457.94)</f>
        <v>3457.94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IFERROR(__xludf.DUMMYFUNCTION("IMPORTRANGE(""https://docs.google.com/spreadsheets/d/1XL5vhW3sbDhbH9Cz0tuDiY8C3ctxq1tqvaCgkFb8cCA/edit?usp=sharing"",""อุบลราชธานี!L242"")"),3352445)</f>
        <v>3352445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IFERROR(__xludf.DUMMYFUNCTION("IMPORTRANGE(""https://docs.google.com/spreadsheets/d/1XL5vhW3sbDhbH9Cz0tuDiY8C3ctxq1tqvaCgkFb8cCA/edit?usp=sharing"",""อุบลราชธานี!M242"")"),2673548.25)</f>
        <v>2673548.25</v>
      </c>
      <c r="O347" s="358">
        <f ca="1">+IF(L347&gt;0,N347*100/L347,0)</f>
        <v>79.749205430663295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IFERROR(__xludf.DUMMYFUNCTION("IMPORTRANGE(""https://docs.google.com/spreadsheets/d/1XL5vhW3sbDhbH9Cz0tuDiY8C3ctxq1tqvaCgkFb8cCA/edit?usp=sharing"",""อุบลราชธานี!M244"")"),453733)</f>
        <v>453733</v>
      </c>
      <c r="O349" s="373">
        <f ca="1">+IF(L349&gt;0,N349*100/L349,0)</f>
        <v>82.469918935621067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IFERROR(__xludf.DUMMYFUNCTION("IMPORTRANGE(""https://docs.google.com/spreadsheets/d/1XL5vhW3sbDhbH9Cz0tuDiY8C3ctxq1tqvaCgkFb8cCA/edit?usp=sharing"",""อุบลราชธานี!M247"")"),453733)</f>
        <v>453733</v>
      </c>
      <c r="O352" s="165">
        <f t="shared" ca="1" si="105"/>
        <v>82.469918935621067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IFERROR(__xludf.DUMMYFUNCTION("IMPORTRANGE(""https://docs.google.com/spreadsheets/d/1XL5vhW3sbDhbH9Cz0tuDiY8C3ctxq1tqvaCgkFb8cCA/edit?usp=sharing"",""อุบลราชธานี!M249"")"),453733)</f>
        <v>453733</v>
      </c>
      <c r="O354" s="169">
        <f t="shared" ca="1" si="105"/>
        <v>82.469918935621067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IFERROR(__xludf.DUMMYFUNCTION("IMPORTRANGE(""https://docs.google.com/spreadsheets/d/1XL5vhW3sbDhbH9Cz0tuDiY8C3ctxq1tqvaCgkFb8cCA/edit?usp=sharing"",""อุบลราชธานี!M250"")"),103400)</f>
        <v>103400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IFERROR(__xludf.DUMMYFUNCTION("IMPORTRANGE(""https://docs.google.com/spreadsheets/d/1XL5vhW3sbDhbH9Cz0tuDiY8C3ctxq1tqvaCgkFb8cCA/edit?usp=sharing"",""อุบลราชธานี!M252"")"),65266)</f>
        <v>65266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IFERROR(__xludf.DUMMYFUNCTION("IMPORTRANGE(""https://docs.google.com/spreadsheets/d/1XL5vhW3sbDhbH9Cz0tuDiY8C3ctxq1tqvaCgkFb8cCA/edit?usp=sharing"",""อุบลราชธานี!M253"")"),35067)</f>
        <v>35067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IFERROR(__xludf.DUMMYFUNCTION("IMPORTRANGE(""https://docs.google.com/spreadsheets/d/1XL5vhW3sbDhbH9Cz0tuDiY8C3ctxq1tqvaCgkFb8cCA/edit?usp=sharing"",""อุบลราชธานี!J274"")"),0)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IFERROR(__xludf.DUMMYFUNCTION("IMPORTRANGE(""https://docs.google.com/spreadsheets/d/1XL5vhW3sbDhbH9Cz0tuDiY8C3ctxq1tqvaCgkFb8cCA/edit?usp=sharing"",""อุบลราชธานี!M275"")"),937514)</f>
        <v>937514</v>
      </c>
      <c r="O380" s="373">
        <f ca="1">+IF(L380&gt;0,N380*100/L380,0)</f>
        <v>91.151752032046048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IFERROR(__xludf.DUMMYFUNCTION("IMPORTRANGE(""https://docs.google.com/spreadsheets/d/1XL5vhW3sbDhbH9Cz0tuDiY8C3ctxq1tqvaCgkFb8cCA/edit?usp=sharing"",""อุบลราชธานี!M278"")"),937514)</f>
        <v>937514</v>
      </c>
      <c r="O383" s="165">
        <f t="shared" ca="1" si="109"/>
        <v>91.151752032046048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IFERROR(__xludf.DUMMYFUNCTION("IMPORTRANGE(""https://docs.google.com/spreadsheets/d/1XL5vhW3sbDhbH9Cz0tuDiY8C3ctxq1tqvaCgkFb8cCA/edit?usp=sharing"",""อุบลราชธานี!M280"")"),937514)</f>
        <v>937514</v>
      </c>
      <c r="O385" s="169">
        <f t="shared" ca="1" si="109"/>
        <v>91.151752032046048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IFERROR(__xludf.DUMMYFUNCTION("IMPORTRANGE(""https://docs.google.com/spreadsheets/d/1XL5vhW3sbDhbH9Cz0tuDiY8C3ctxq1tqvaCgkFb8cCA/edit?usp=sharing"",""อุบลราชธานี!M281"")"),175000)</f>
        <v>175000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IFERROR(__xludf.DUMMYFUNCTION("IMPORTRANGE(""https://docs.google.com/spreadsheets/d/1XL5vhW3sbDhbH9Cz0tuDiY8C3ctxq1tqvaCgkFb8cCA/edit?usp=sharing"",""อุบลราชธานี!M283"")"),66000)</f>
        <v>66000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IFERROR(__xludf.DUMMYFUNCTION("IMPORTRANGE(""https://docs.google.com/spreadsheets/d/1XL5vhW3sbDhbH9Cz0tuDiY8C3ctxq1tqvaCgkFb8cCA/edit?usp=sharing"",""อุบลราชธานี!M284"")"),71514)</f>
        <v>71514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IFERROR(__xludf.DUMMYFUNCTION("IMPORTRANGE(""https://docs.google.com/spreadsheets/d/1XL5vhW3sbDhbH9Cz0tuDiY8C3ctxq1tqvaCgkFb8cCA/edit?usp=sharing"",""อุบลราชธานี!J295"")"),0)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IFERROR(__xludf.DUMMYFUNCTION("IMPORTRANGE(""https://docs.google.com/spreadsheets/d/1XL5vhW3sbDhbH9Cz0tuDiY8C3ctxq1tqvaCgkFb8cCA/edit?usp=sharing"",""อุบลราชธานี!M296"")"),255024)</f>
        <v>255024</v>
      </c>
      <c r="O401" s="373">
        <f ca="1">+IF(L401&gt;0,N401*100/L401,0)</f>
        <v>109.32098765432099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IFERROR(__xludf.DUMMYFUNCTION("IMPORTRANGE(""https://docs.google.com/spreadsheets/d/1XL5vhW3sbDhbH9Cz0tuDiY8C3ctxq1tqvaCgkFb8cCA/edit?usp=sharing"",""อุบลราชธานี!M299"")"),255024)</f>
        <v>255024</v>
      </c>
      <c r="O404" s="169">
        <f t="shared" ca="1" si="112"/>
        <v>109.32098765432099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IFERROR(__xludf.DUMMYFUNCTION("IMPORTRANGE(""https://docs.google.com/spreadsheets/d/1XL5vhW3sbDhbH9Cz0tuDiY8C3ctxq1tqvaCgkFb8cCA/edit?usp=sharing"",""อุบลราชธานี!M301"")"),255024)</f>
        <v>255024</v>
      </c>
      <c r="O406" s="169">
        <f t="shared" ca="1" si="112"/>
        <v>109.32098765432099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IFERROR(__xludf.DUMMYFUNCTION("IMPORTRANGE(""https://docs.google.com/spreadsheets/d/1XL5vhW3sbDhbH9Cz0tuDiY8C3ctxq1tqvaCgkFb8cCA/edit?usp=sharing"",""อุบลราชธานี!M302"")"),163117)</f>
        <v>163117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IFERROR(__xludf.DUMMYFUNCTION("IMPORTRANGE(""https://docs.google.com/spreadsheets/d/1XL5vhW3sbDhbH9Cz0tuDiY8C3ctxq1tqvaCgkFb8cCA/edit?usp=sharing"",""อุบลราชธานี!M305"")"),38807)</f>
        <v>38807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IFERROR(__xludf.DUMMYFUNCTION("IMPORTRANGE(""https://docs.google.com/spreadsheets/d/1XL5vhW3sbDhbH9Cz0tuDiY8C3ctxq1tqvaCgkFb8cCA/edit?usp=sharing"",""อุบลราชธานี!J329"")"),0)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IFERROR(__xludf.DUMMYFUNCTION("IMPORTRANGE(""https://docs.google.com/spreadsheets/d/1XL5vhW3sbDhbH9Cz0tuDiY8C3ctxq1tqvaCgkFb8cCA/edit?usp=sharing"",""อุบลราชธานี!M330"")"),135678)</f>
        <v>135678</v>
      </c>
      <c r="O435" s="412">
        <f t="shared" ref="O435:O439" ca="1" si="114">+IF(L435&gt;0,N435*100/L435,0)</f>
        <v>94.220833333333331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IFERROR(__xludf.DUMMYFUNCTION("IMPORTRANGE(""https://docs.google.com/spreadsheets/d/1XL5vhW3sbDhbH9Cz0tuDiY8C3ctxq1tqvaCgkFb8cCA/edit?usp=sharing"",""อุบลราชธานี!M332"")"),135678)</f>
        <v>135678</v>
      </c>
      <c r="O437" s="169">
        <f t="shared" ca="1" si="114"/>
        <v>94.220833333333331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IFERROR(__xludf.DUMMYFUNCTION("IMPORTRANGE(""https://docs.google.com/spreadsheets/d/1XL5vhW3sbDhbH9Cz0tuDiY8C3ctxq1tqvaCgkFb8cCA/edit?usp=sharing"",""อุบลราชธานี!M334"")"),135678)</f>
        <v>135678</v>
      </c>
      <c r="O439" s="169">
        <f t="shared" ca="1" si="114"/>
        <v>94.220833333333331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IFERROR(__xludf.DUMMYFUNCTION("IMPORTRANGE(""https://docs.google.com/spreadsheets/d/1XL5vhW3sbDhbH9Cz0tuDiY8C3ctxq1tqvaCgkFb8cCA/edit?usp=sharing"",""อุบลราชธานี!M335"")"),35460)</f>
        <v>35460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IFERROR(__xludf.DUMMYFUNCTION("IMPORTRANGE(""https://docs.google.com/spreadsheets/d/1XL5vhW3sbDhbH9Cz0tuDiY8C3ctxq1tqvaCgkFb8cCA/edit?usp=sharing"",""อุบลราชธานี!M338"")"),100218)</f>
        <v>100218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IFERROR(__xludf.DUMMYFUNCTION("IMPORTRANGE(""https://docs.google.com/spreadsheets/d/1XL5vhW3sbDhbH9Cz0tuDiY8C3ctxq1tqvaCgkFb8cCA/edit?usp=sharing"",""อุบลราชธานี!J349"")"),0)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IFERROR(__xludf.DUMMYFUNCTION("IMPORTRANGE(""https://docs.google.com/spreadsheets/d/1XL5vhW3sbDhbH9Cz0tuDiY8C3ctxq1tqvaCgkFb8cCA/edit?usp=sharing"",""อุบลราชธานี!J350"")"),44577)</f>
        <v>44577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IFERROR(__xludf.DUMMYFUNCTION("IMPORTRANGE(""https://docs.google.com/spreadsheets/d/1XL5vhW3sbDhbH9Cz0tuDiY8C3ctxq1tqvaCgkFb8cCA/edit?usp=sharing"",""อุบลราชธานี!L350"")"),490575)</f>
        <v>490575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IFERROR(__xludf.DUMMYFUNCTION("IMPORTRANGE(""https://docs.google.com/spreadsheets/d/1XL5vhW3sbDhbH9Cz0tuDiY8C3ctxq1tqvaCgkFb8cCA/edit?usp=sharing"",""อุบลราชธานี!M350"")"),192207)</f>
        <v>192207</v>
      </c>
      <c r="O455" s="373">
        <f t="shared" ref="O455:O459" ca="1" si="116">+IF(L455&gt;0,N455*100/L455,0)</f>
        <v>39.179941904907508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IFERROR(__xludf.DUMMYFUNCTION("IMPORTRANGE(""https://docs.google.com/spreadsheets/d/1XL5vhW3sbDhbH9Cz0tuDiY8C3ctxq1tqvaCgkFb8cCA/edit?usp=sharing"",""อุบลราชธานี!L352"")"),490575)</f>
        <v>490575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IFERROR(__xludf.DUMMYFUNCTION("IMPORTRANGE(""https://docs.google.com/spreadsheets/d/1XL5vhW3sbDhbH9Cz0tuDiY8C3ctxq1tqvaCgkFb8cCA/edit?usp=sharing"",""อุบลราชธานี!M352"")"),192207)</f>
        <v>192207</v>
      </c>
      <c r="O457" s="169">
        <f t="shared" ca="1" si="116"/>
        <v>39.179941904907508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IFERROR(__xludf.DUMMYFUNCTION("IMPORTRANGE(""https://docs.google.com/spreadsheets/d/1XL5vhW3sbDhbH9Cz0tuDiY8C3ctxq1tqvaCgkFb8cCA/edit?usp=sharing"",""อุบลราชธานี!L354"")"),490575)</f>
        <v>490575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IFERROR(__xludf.DUMMYFUNCTION("IMPORTRANGE(""https://docs.google.com/spreadsheets/d/1XL5vhW3sbDhbH9Cz0tuDiY8C3ctxq1tqvaCgkFb8cCA/edit?usp=sharing"",""อุบลราชธานี!M354"")"),192207)</f>
        <v>192207</v>
      </c>
      <c r="O459" s="169">
        <f t="shared" ca="1" si="116"/>
        <v>39.179941904907508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IFERROR(__xludf.DUMMYFUNCTION("IMPORTRANGE(""https://docs.google.com/spreadsheets/d/1XL5vhW3sbDhbH9Cz0tuDiY8C3ctxq1tqvaCgkFb8cCA/edit?usp=sharing"",""อุบลราชธานี!M357"")"),68233)</f>
        <v>68233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IFERROR(__xludf.DUMMYFUNCTION("IMPORTRANGE(""https://docs.google.com/spreadsheets/d/1XL5vhW3sbDhbH9Cz0tuDiY8C3ctxq1tqvaCgkFb8cCA/edit?usp=sharing"",""อุบลราชธานี!M358"")"),123974)</f>
        <v>123974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7">
        <f ca="1">IFERROR(__xludf.DUMMYFUNCTION("IMPORTRANGE(""https://docs.google.com/spreadsheets/d/1XL5vhW3sbDhbH9Cz0tuDiY8C3ctxq1tqvaCgkFb8cCA/edit?usp=sharing"",""อุบลราชธานี!J359"")"),44577)</f>
        <v>44577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IFERROR(__xludf.DUMMYFUNCTION("IMPORTRANGE(""https://docs.google.com/spreadsheets/d/1XL5vhW3sbDhbH9Cz0tuDiY8C3ctxq1tqvaCgkFb8cCA/edit?usp=sharing"",""อุบลราชธานี!J362"")"),40285)</f>
        <v>40285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IFERROR(__xludf.DUMMYFUNCTION("IMPORTRANGE(""https://docs.google.com/spreadsheets/d/1XL5vhW3sbDhbH9Cz0tuDiY8C3ctxq1tqvaCgkFb8cCA/edit?usp=sharing"",""อุบลราชธานี!J363"")"),5413)</f>
        <v>5413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IFERROR(__xludf.DUMMYFUNCTION("IMPORTRANGE(""https://docs.google.com/spreadsheets/d/1XL5vhW3sbDhbH9Cz0tuDiY8C3ctxq1tqvaCgkFb8cCA/edit?usp=sharing"",""อุบลราชธานี!J364"")"),3122)</f>
        <v>3122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IFERROR(__xludf.DUMMYFUNCTION("IMPORTRANGE(""https://docs.google.com/spreadsheets/d/1XL5vhW3sbDhbH9Cz0tuDiY8C3ctxq1tqvaCgkFb8cCA/edit?usp=sharing"",""อุบลราชธานี!J365"")"),287)</f>
        <v>287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IFERROR(__xludf.DUMMYFUNCTION("IMPORTRANGE(""https://docs.google.com/spreadsheets/d/1XL5vhW3sbDhbH9Cz0tuDiY8C3ctxq1tqvaCgkFb8cCA/edit?usp=sharing"",""อุบลราชธานี!J366"")"),1170)</f>
        <v>1170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IFERROR(__xludf.DUMMYFUNCTION("IMPORTRANGE(""https://docs.google.com/spreadsheets/d/1XL5vhW3sbDhbH9Cz0tuDiY8C3ctxq1tqvaCgkFb8cCA/edit?usp=sharing"",""อุบลราชธานี!J367"")"),116)</f>
        <v>116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IFERROR(__xludf.DUMMYFUNCTION("IMPORTRANGE(""https://docs.google.com/spreadsheets/d/1XL5vhW3sbDhbH9Cz0tuDiY8C3ctxq1tqvaCgkFb8cCA/edit?usp=sharing"",""อุบลราชธานี!J370"")"),41880)</f>
        <v>41880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IFERROR(__xludf.DUMMYFUNCTION("IMPORTRANGE(""https://docs.google.com/spreadsheets/d/1XL5vhW3sbDhbH9Cz0tuDiY8C3ctxq1tqvaCgkFb8cCA/edit?usp=sharing"",""อุบลราชธานี!J371"")"),5577)</f>
        <v>5577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IFERROR(__xludf.DUMMYFUNCTION("IMPORTRANGE(""https://docs.google.com/spreadsheets/d/1XL5vhW3sbDhbH9Cz0tuDiY8C3ctxq1tqvaCgkFb8cCA/edit?usp=sharing"",""อุบลราชธานี!J372"")"),1375)</f>
        <v>1375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IFERROR(__xludf.DUMMYFUNCTION("IMPORTRANGE(""https://docs.google.com/spreadsheets/d/1XL5vhW3sbDhbH9Cz0tuDiY8C3ctxq1tqvaCgkFb8cCA/edit?usp=sharing"",""อุบลราชธานี!J373"")"),110)</f>
        <v>110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IFERROR(__xludf.DUMMYFUNCTION("IMPORTRANGE(""https://docs.google.com/spreadsheets/d/1XL5vhW3sbDhbH9Cz0tuDiY8C3ctxq1tqvaCgkFb8cCA/edit?usp=sharing"",""อุบลราชธานี!J374"")"),1322)</f>
        <v>1322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IFERROR(__xludf.DUMMYFUNCTION("IMPORTRANGE(""https://docs.google.com/spreadsheets/d/1XL5vhW3sbDhbH9Cz0tuDiY8C3ctxq1tqvaCgkFb8cCA/edit?usp=sharing"",""อุบลราชธานี!J375"")"),129)</f>
        <v>129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IFERROR(__xludf.DUMMYFUNCTION("IMPORTRANGE(""https://docs.google.com/spreadsheets/d/1XL5vhW3sbDhbH9Cz0tuDiY8C3ctxq1tqvaCgkFb8cCA/edit?usp=sharing"",""อุบลราชธานี!J376"")"),44577)</f>
        <v>44577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IFERROR(__xludf.DUMMYFUNCTION("IMPORTRANGE(""https://docs.google.com/spreadsheets/d/1XL5vhW3sbDhbH9Cz0tuDiY8C3ctxq1tqvaCgkFb8cCA/edit?usp=sharing"",""อุบลราชธานี!J377"")"),5816)</f>
        <v>5816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IFERROR(__xludf.DUMMYFUNCTION("IMPORTRANGE(""https://docs.google.com/spreadsheets/d/1XL5vhW3sbDhbH9Cz0tuDiY8C3ctxq1tqvaCgkFb8cCA/edit?usp=sharing"",""อุบลราชธานี!J378"")"),41880)</f>
        <v>41880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IFERROR(__xludf.DUMMYFUNCTION("IMPORTRANGE(""https://docs.google.com/spreadsheets/d/1XL5vhW3sbDhbH9Cz0tuDiY8C3ctxq1tqvaCgkFb8cCA/edit?usp=sharing"",""อุบลราชธานี!J379"")"),5577)</f>
        <v>5577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IFERROR(__xludf.DUMMYFUNCTION("IMPORTRANGE(""https://docs.google.com/spreadsheets/d/1XL5vhW3sbDhbH9Cz0tuDiY8C3ctxq1tqvaCgkFb8cCA/edit?usp=sharing"",""อุบลราชธานี!J380"")"),1375)</f>
        <v>1375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IFERROR(__xludf.DUMMYFUNCTION("IMPORTRANGE(""https://docs.google.com/spreadsheets/d/1XL5vhW3sbDhbH9Cz0tuDiY8C3ctxq1tqvaCgkFb8cCA/edit?usp=sharing"",""อุบลราชธานี!J381"")"),110)</f>
        <v>110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IFERROR(__xludf.DUMMYFUNCTION("IMPORTRANGE(""https://docs.google.com/spreadsheets/d/1XL5vhW3sbDhbH9Cz0tuDiY8C3ctxq1tqvaCgkFb8cCA/edit?usp=sharing"",""อุบลราชธานี!J382"")"),1322)</f>
        <v>1322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IFERROR(__xludf.DUMMYFUNCTION("IMPORTRANGE(""https://docs.google.com/spreadsheets/d/1XL5vhW3sbDhbH9Cz0tuDiY8C3ctxq1tqvaCgkFb8cCA/edit?usp=sharing"",""อุบลราชธานี!J383"")"),129)</f>
        <v>129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IFERROR(__xludf.DUMMYFUNCTION("IMPORTRANGE(""https://docs.google.com/spreadsheets/d/1XL5vhW3sbDhbH9Cz0tuDiY8C3ctxq1tqvaCgkFb8cCA/edit?usp=sharing"",""อุบลราชธานี!J384"")"),1322)</f>
        <v>1322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IFERROR(__xludf.DUMMYFUNCTION("IMPORTRANGE(""https://docs.google.com/spreadsheets/d/1XL5vhW3sbDhbH9Cz0tuDiY8C3ctxq1tqvaCgkFb8cCA/edit?usp=sharing"",""อุบลราชธานี!J385"")"),129)</f>
        <v>129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IFERROR(__xludf.DUMMYFUNCTION("IMPORTRANGE(""https://docs.google.com/spreadsheets/d/1XL5vhW3sbDhbH9Cz0tuDiY8C3ctxq1tqvaCgkFb8cCA/edit?usp=sharing"",""อุบลราชธานี!J392"")"),82)</f>
        <v>82</v>
      </c>
      <c r="K497" s="444">
        <f t="shared" ca="1" si="117"/>
        <v>5.998536942209217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IFERROR(__xludf.DUMMYFUNCTION("IMPORTRANGE(""https://docs.google.com/spreadsheets/d/1XL5vhW3sbDhbH9Cz0tuDiY8C3ctxq1tqvaCgkFb8cCA/edit?usp=sharing"",""อุบลราชธานี!J393"")"),82)</f>
        <v>82</v>
      </c>
      <c r="K498" s="202">
        <f t="shared" ca="1" si="117"/>
        <v>5.998536942209217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IFERROR(__xludf.DUMMYFUNCTION("IMPORTRANGE(""https://docs.google.com/spreadsheets/d/1XL5vhW3sbDhbH9Cz0tuDiY8C3ctxq1tqvaCgkFb8cCA/edit?usp=sharing"",""อุบลราชธานี!J394"")"),21)</f>
        <v>21</v>
      </c>
      <c r="K499" s="202">
        <f t="shared" ca="1" si="117"/>
        <v>7.5268817204301079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IFERROR(__xludf.DUMMYFUNCTION("IMPORTRANGE(""https://docs.google.com/spreadsheets/d/1XL5vhW3sbDhbH9Cz0tuDiY8C3ctxq1tqvaCgkFb8cCA/edit?usp=sharing"",""อุบลราชธานี!J395"")"),82)</f>
        <v>82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IFERROR(__xludf.DUMMYFUNCTION("IMPORTRANGE(""https://docs.google.com/spreadsheets/d/1XL5vhW3sbDhbH9Cz0tuDiY8C3ctxq1tqvaCgkFb8cCA/edit?usp=sharing"",""อุบลราชธานี!J396"")"),21)</f>
        <v>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IFERROR(__xludf.DUMMYFUNCTION("IMPORTRANGE(""https://docs.google.com/spreadsheets/d/1XL5vhW3sbDhbH9Cz0tuDiY8C3ctxq1tqvaCgkFb8cCA/edit?usp=sharing"",""อุบลราชธานี!J397"")"),82)</f>
        <v>82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IFERROR(__xludf.DUMMYFUNCTION("IMPORTRANGE(""https://docs.google.com/spreadsheets/d/1XL5vhW3sbDhbH9Cz0tuDiY8C3ctxq1tqvaCgkFb8cCA/edit?usp=sharing"",""อุบลราชธานี!J398"")"),21)</f>
        <v>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IFERROR(__xludf.DUMMYFUNCTION("IMPORTRANGE(""https://docs.google.com/spreadsheets/d/1XL5vhW3sbDhbH9Cz0tuDiY8C3ctxq1tqvaCgkFb8cCA/edit?usp=sharing"",""อุบลราชธานี!I411"")"),0)</f>
        <v>0</v>
      </c>
      <c r="J516" s="267">
        <f ca="1">IFERROR(__xludf.DUMMYFUNCTION("IMPORTRANGE(""https://docs.google.com/spreadsheets/d/1XL5vhW3sbDhbH9Cz0tuDiY8C3ctxq1tqvaCgkFb8cCA/edit?usp=sharing"",""อุบลราชธานี!J411"")"),0)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IFERROR(__xludf.DUMMYFUNCTION("IMPORTRANGE(""https://docs.google.com/spreadsheets/d/1XL5vhW3sbDhbH9Cz0tuDiY8C3ctxq1tqvaCgkFb8cCA/edit?usp=sharing"",""อุบลราชธานี!I412"")"),0)</f>
        <v>0</v>
      </c>
      <c r="J517" s="284">
        <f ca="1">IFERROR(__xludf.DUMMYFUNCTION("IMPORTRANGE(""https://docs.google.com/spreadsheets/d/1XL5vhW3sbDhbH9Cz0tuDiY8C3ctxq1tqvaCgkFb8cCA/edit?usp=sharing"",""อุบลราชธานี!J412"")"),0)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IFERROR(__xludf.DUMMYFUNCTION("IMPORTRANGE(""https://docs.google.com/spreadsheets/d/1XL5vhW3sbDhbH9Cz0tuDiY8C3ctxq1tqvaCgkFb8cCA/edit?usp=sharing"",""อุบลราชธานี!I413"")"),0)</f>
        <v>0</v>
      </c>
      <c r="J518" s="284">
        <f ca="1">IFERROR(__xludf.DUMMYFUNCTION("IMPORTRANGE(""https://docs.google.com/spreadsheets/d/1XL5vhW3sbDhbH9Cz0tuDiY8C3ctxq1tqvaCgkFb8cCA/edit?usp=sharing"",""อุบลราชธานี!J413"")"),0)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IFERROR(__xludf.DUMMYFUNCTION("IMPORTRANGE(""https://docs.google.com/spreadsheets/d/1XL5vhW3sbDhbH9Cz0tuDiY8C3ctxq1tqvaCgkFb8cCA/edit?usp=sharing"",""อุบลราชธานี!I420"")"),0)</f>
        <v>0</v>
      </c>
      <c r="J525" s="284">
        <f ca="1">IFERROR(__xludf.DUMMYFUNCTION("IMPORTRANGE(""https://docs.google.com/spreadsheets/d/1XL5vhW3sbDhbH9Cz0tuDiY8C3ctxq1tqvaCgkFb8cCA/edit?usp=sharing"",""อุบลราชธานี!J420"")"),0)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IFERROR(__xludf.DUMMYFUNCTION("IMPORTRANGE(""https://docs.google.com/spreadsheets/d/1XL5vhW3sbDhbH9Cz0tuDiY8C3ctxq1tqvaCgkFb8cCA/edit?usp=sharing"",""อุบลราชธานี!I421"")"),0)</f>
        <v>0</v>
      </c>
      <c r="J526" s="284">
        <f ca="1">IFERROR(__xludf.DUMMYFUNCTION("IMPORTRANGE(""https://docs.google.com/spreadsheets/d/1XL5vhW3sbDhbH9Cz0tuDiY8C3ctxq1tqvaCgkFb8cCA/edit?usp=sharing"",""อุบลราชธานี!J421"")"),0)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IFERROR(__xludf.DUMMYFUNCTION("IMPORTRANGE(""https://docs.google.com/spreadsheets/d/1XL5vhW3sbDhbH9Cz0tuDiY8C3ctxq1tqvaCgkFb8cCA/edit?usp=sharing"",""อุบลราชธานี!M428"")"),36040)</f>
        <v>36040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IFERROR(__xludf.DUMMYFUNCTION("IMPORTRANGE(""https://docs.google.com/spreadsheets/d/1XL5vhW3sbDhbH9Cz0tuDiY8C3ctxq1tqvaCgkFb8cCA/edit?usp=sharing"",""อุบลราชธานี!M430"")"),36040)</f>
        <v>36040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IFERROR(__xludf.DUMMYFUNCTION("IMPORTRANGE(""https://docs.google.com/spreadsheets/d/1XL5vhW3sbDhbH9Cz0tuDiY8C3ctxq1tqvaCgkFb8cCA/edit?usp=sharing"",""อุบลราชธานี!M432"")"),36040)</f>
        <v>36040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IFERROR(__xludf.DUMMYFUNCTION("IMPORTRANGE(""https://docs.google.com/spreadsheets/d/1XL5vhW3sbDhbH9Cz0tuDiY8C3ctxq1tqvaCgkFb8cCA/edit?usp=sharing"",""อุบลราชธานี!M436"")"),12660)</f>
        <v>12660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IFERROR(__xludf.DUMMYFUNCTION("IMPORTRANGE(""https://docs.google.com/spreadsheets/d/1XL5vhW3sbDhbH9Cz0tuDiY8C3ctxq1tqvaCgkFb8cCA/edit?usp=sharing"",""อุบลราชธานี!J446"")"),3081)</f>
        <v>3081</v>
      </c>
      <c r="K551" s="411">
        <f ca="1">IF(I551&gt;0,J551*100/I551,0)</f>
        <v>61.62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IFERROR(__xludf.DUMMYFUNCTION("IMPORTRANGE(""https://docs.google.com/spreadsheets/d/1XL5vhW3sbDhbH9Cz0tuDiY8C3ctxq1tqvaCgkFb8cCA/edit?usp=sharing"",""อุบลราชธานี!M446"")"),274728.3)</f>
        <v>274728.3</v>
      </c>
      <c r="O551" s="412">
        <f t="shared" ref="O551:O555" ca="1" si="120">+IF(L551&gt;0,N551*100/L551,0)</f>
        <v>85.852593749999997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IFERROR(__xludf.DUMMYFUNCTION("IMPORTRANGE(""https://docs.google.com/spreadsheets/d/1XL5vhW3sbDhbH9Cz0tuDiY8C3ctxq1tqvaCgkFb8cCA/edit?usp=sharing"",""อุบลราชธานี!M448"")"),274728.3)</f>
        <v>274728.3</v>
      </c>
      <c r="O553" s="169">
        <f t="shared" ca="1" si="120"/>
        <v>85.852593749999997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IFERROR(__xludf.DUMMYFUNCTION("IMPORTRANGE(""https://docs.google.com/spreadsheets/d/1XL5vhW3sbDhbH9Cz0tuDiY8C3ctxq1tqvaCgkFb8cCA/edit?usp=sharing"",""อุบลราชธานี!M450"")"),274728.3)</f>
        <v>274728.3</v>
      </c>
      <c r="O555" s="169">
        <f t="shared" ca="1" si="120"/>
        <v>85.852593749999997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IFERROR(__xludf.DUMMYFUNCTION("IMPORTRANGE(""https://docs.google.com/spreadsheets/d/1XL5vhW3sbDhbH9Cz0tuDiY8C3ctxq1tqvaCgkFb8cCA/edit?usp=sharing"",""อุบลราชธานี!M453"")"),97100)</f>
        <v>97100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IFERROR(__xludf.DUMMYFUNCTION("IMPORTRANGE(""https://docs.google.com/spreadsheets/d/1XL5vhW3sbDhbH9Cz0tuDiY8C3ctxq1tqvaCgkFb8cCA/edit?usp=sharing"",""อุบลราชธานี!M454"")"),177628.3)</f>
        <v>177628.3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IFERROR(__xludf.DUMMYFUNCTION("IMPORTRANGE(""https://docs.google.com/spreadsheets/d/1XL5vhW3sbDhbH9Cz0tuDiY8C3ctxq1tqvaCgkFb8cCA/edit?usp=sharing"",""อุบลราชธานี!J455"")"),3081)</f>
        <v>3081</v>
      </c>
      <c r="K560" s="224">
        <f t="shared" ref="K560:K561" ca="1" si="121">IF(I560&gt;0,J560*100/I560,0)</f>
        <v>61.62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IFERROR(__xludf.DUMMYFUNCTION("IMPORTRANGE(""https://docs.google.com/spreadsheets/d/1XL5vhW3sbDhbH9Cz0tuDiY8C3ctxq1tqvaCgkFb8cCA/edit?usp=sharing"",""อุบลราชธานี!J456"")"),222)</f>
        <v>222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IFERROR(__xludf.DUMMYFUNCTION("IMPORTRANGE(""https://docs.google.com/spreadsheets/d/1XL5vhW3sbDhbH9Cz0tuDiY8C3ctxq1tqvaCgkFb8cCA/edit?usp=sharing"",""อุบลราชธานี!J459"")"),10029)</f>
        <v>10029</v>
      </c>
      <c r="K564" s="372">
        <f ca="1">IF(I564&gt;0,J564*100/I564,0)</f>
        <v>139.29166666666666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IFERROR(__xludf.DUMMYFUNCTION("IMPORTRANGE(""https://docs.google.com/spreadsheets/d/1XL5vhW3sbDhbH9Cz0tuDiY8C3ctxq1tqvaCgkFb8cCA/edit?usp=sharing"",""อุบลราชธานี!M459"")"),170311)</f>
        <v>170311</v>
      </c>
      <c r="O564" s="373">
        <f t="shared" ref="O564:O568" ca="1" si="122">+IF(L564&gt;0,N564*100/L564,0)</f>
        <v>86.364604462474645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IFERROR(__xludf.DUMMYFUNCTION("IMPORTRANGE(""https://docs.google.com/spreadsheets/d/1XL5vhW3sbDhbH9Cz0tuDiY8C3ctxq1tqvaCgkFb8cCA/edit?usp=sharing"",""อุบลราชธานี!M461"")"),170311)</f>
        <v>170311</v>
      </c>
      <c r="O566" s="169">
        <f t="shared" ca="1" si="122"/>
        <v>86.364604462474645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IFERROR(__xludf.DUMMYFUNCTION("IMPORTRANGE(""https://docs.google.com/spreadsheets/d/1XL5vhW3sbDhbH9Cz0tuDiY8C3ctxq1tqvaCgkFb8cCA/edit?usp=sharing"",""อุบลราชธานี!M463"")"),170311)</f>
        <v>170311</v>
      </c>
      <c r="O568" s="169">
        <f t="shared" ca="1" si="122"/>
        <v>86.364604462474645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IFERROR(__xludf.DUMMYFUNCTION("IMPORTRANGE(""https://docs.google.com/spreadsheets/d/1XL5vhW3sbDhbH9Cz0tuDiY8C3ctxq1tqvaCgkFb8cCA/edit?usp=sharing"",""อุบลราชธานี!M466"")"),75568)</f>
        <v>75568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IFERROR(__xludf.DUMMYFUNCTION("IMPORTRANGE(""https://docs.google.com/spreadsheets/d/1XL5vhW3sbDhbH9Cz0tuDiY8C3ctxq1tqvaCgkFb8cCA/edit?usp=sharing"",""อุบลราชธานี!M467"")"),94743)</f>
        <v>94743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IFERROR(__xludf.DUMMYFUNCTION("IMPORTRANGE(""https://docs.google.com/spreadsheets/d/1XL5vhW3sbDhbH9Cz0tuDiY8C3ctxq1tqvaCgkFb8cCA/edit?usp=sharing"",""อุบลราชธานี!J468"")"),10029)</f>
        <v>10029</v>
      </c>
      <c r="K573" s="202">
        <f ca="1">IF(I573&gt;0,J573*100/I573,0)</f>
        <v>139.29166666666666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IFERROR(__xludf.DUMMYFUNCTION("IMPORTRANGE(""https://docs.google.com/spreadsheets/d/1XL5vhW3sbDhbH9Cz0tuDiY8C3ctxq1tqvaCgkFb8cCA/edit?usp=sharing"",""อุบลราชธานี!J471"")"),352)</f>
        <v>352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IFERROR(__xludf.DUMMYFUNCTION("IMPORTRANGE(""https://docs.google.com/spreadsheets/d/1XL5vhW3sbDhbH9Cz0tuDiY8C3ctxq1tqvaCgkFb8cCA/edit?usp=sharing"",""อุบลราชธานี!J472"")"),9136)</f>
        <v>9136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IFERROR(__xludf.DUMMYFUNCTION("IMPORTRANGE(""https://docs.google.com/spreadsheets/d/1XL5vhW3sbDhbH9Cz0tuDiY8C3ctxq1tqvaCgkFb8cCA/edit?usp=sharing"",""อุบลราชธานี!J473"")"),8)</f>
        <v>8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IFERROR(__xludf.DUMMYFUNCTION("IMPORTRANGE(""https://docs.google.com/spreadsheets/d/1XL5vhW3sbDhbH9Cz0tuDiY8C3ctxq1tqvaCgkFb8cCA/edit?usp=sharing"",""อุบลราชธานี!J474"")"),533)</f>
        <v>533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IFERROR(__xludf.DUMMYFUNCTION("IMPORTRANGE(""https://docs.google.com/spreadsheets/d/1XL5vhW3sbDhbH9Cz0tuDiY8C3ctxq1tqvaCgkFb8cCA/edit?usp=sharing"",""อุบลราชธานี!J475"")"),11)</f>
        <v>11</v>
      </c>
      <c r="K580" s="372">
        <f ca="1">IF(I580&gt;0,J580*100/I580,0)</f>
        <v>11</v>
      </c>
      <c r="L580" s="373">
        <f ca="1">IFERROR(__xludf.DUMMYFUNCTION("IMPORTRANGE(""https://docs.google.com/spreadsheets/d/1XL5vhW3sbDhbH9Cz0tuDiY8C3ctxq1tqvaCgkFb8cCA/edit?usp=sharing"",""อุบลราชธานี!L475"")"),348100)</f>
        <v>348100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IFERROR(__xludf.DUMMYFUNCTION("IMPORTRANGE(""https://docs.google.com/spreadsheets/d/1XL5vhW3sbDhbH9Cz0tuDiY8C3ctxq1tqvaCgkFb8cCA/edit?usp=sharing"",""อุบลราชธานี!M475"")"),215792.95)</f>
        <v>215792.95</v>
      </c>
      <c r="O580" s="373">
        <f t="shared" ref="O580:O584" ca="1" si="124">+IF(L580&gt;0,N580*100/L580,0)</f>
        <v>61.991654696926169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IFERROR(__xludf.DUMMYFUNCTION("IMPORTRANGE(""https://docs.google.com/spreadsheets/d/1XL5vhW3sbDhbH9Cz0tuDiY8C3ctxq1tqvaCgkFb8cCA/edit?usp=sharing"",""อุบลราชธานี!L477"")"),348100)</f>
        <v>348100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IFERROR(__xludf.DUMMYFUNCTION("IMPORTRANGE(""https://docs.google.com/spreadsheets/d/1XL5vhW3sbDhbH9Cz0tuDiY8C3ctxq1tqvaCgkFb8cCA/edit?usp=sharing"",""อุบลราชธานี!M477"")"),215792.95)</f>
        <v>215792.95</v>
      </c>
      <c r="O582" s="169">
        <f t="shared" ca="1" si="124"/>
        <v>61.991654696926169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IFERROR(__xludf.DUMMYFUNCTION("IMPORTRANGE(""https://docs.google.com/spreadsheets/d/1XL5vhW3sbDhbH9Cz0tuDiY8C3ctxq1tqvaCgkFb8cCA/edit?usp=sharing"",""อุบลราชธานี!L479"")"),348100)</f>
        <v>348100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IFERROR(__xludf.DUMMYFUNCTION("IMPORTRANGE(""https://docs.google.com/spreadsheets/d/1XL5vhW3sbDhbH9Cz0tuDiY8C3ctxq1tqvaCgkFb8cCA/edit?usp=sharing"",""อุบลราชธานี!M479"")"),215792.95)</f>
        <v>215792.95</v>
      </c>
      <c r="O584" s="169">
        <f t="shared" ca="1" si="124"/>
        <v>61.991654696926169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IFERROR(__xludf.DUMMYFUNCTION("IMPORTRANGE(""https://docs.google.com/spreadsheets/d/1XL5vhW3sbDhbH9Cz0tuDiY8C3ctxq1tqvaCgkFb8cCA/edit?usp=sharing"",""อุบลราชธานี!M482"")"),75568)</f>
        <v>75568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IFERROR(__xludf.DUMMYFUNCTION("IMPORTRANGE(""https://docs.google.com/spreadsheets/d/1XL5vhW3sbDhbH9Cz0tuDiY8C3ctxq1tqvaCgkFb8cCA/edit?usp=sharing"",""อุบลราชธานี!M483"")"),140224.95)</f>
        <v>140224.95000000001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IFERROR(__xludf.DUMMYFUNCTION("IMPORTRANGE(""https://docs.google.com/spreadsheets/d/1XL5vhW3sbDhbH9Cz0tuDiY8C3ctxq1tqvaCgkFb8cCA/edit?usp=sharing"",""อุบลราชธานี!J484"")"),130)</f>
        <v>130</v>
      </c>
      <c r="K589" s="163">
        <f t="shared" ref="K589:K596" ca="1" si="125">IF(I589&gt;0,J589*100/I589,0)</f>
        <v>130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IFERROR(__xludf.DUMMYFUNCTION("IMPORTRANGE(""https://docs.google.com/spreadsheets/d/1XL5vhW3sbDhbH9Cz0tuDiY8C3ctxq1tqvaCgkFb8cCA/edit?usp=sharing"",""อุบลราชธานี!J485"")"),56.45)</f>
        <v>56.45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IFERROR(__xludf.DUMMYFUNCTION("IMPORTRANGE(""https://docs.google.com/spreadsheets/d/1XL5vhW3sbDhbH9Cz0tuDiY8C3ctxq1tqvaCgkFb8cCA/edit?usp=sharing"",""อุบลราชธานี!J486"")"),55)</f>
        <v>55</v>
      </c>
      <c r="K591" s="163">
        <f t="shared" ca="1" si="125"/>
        <v>55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IFERROR(__xludf.DUMMYFUNCTION("IMPORTRANGE(""https://docs.google.com/spreadsheets/d/1XL5vhW3sbDhbH9Cz0tuDiY8C3ctxq1tqvaCgkFb8cCA/edit?usp=sharing"",""อุบลราชธานี!J487"")"),23.31)</f>
        <v>23.31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IFERROR(__xludf.DUMMYFUNCTION("IMPORTRANGE(""https://docs.google.com/spreadsheets/d/1XL5vhW3sbDhbH9Cz0tuDiY8C3ctxq1tqvaCgkFb8cCA/edit?usp=sharing"",""อุบลราชธานี!J488"")"),57)</f>
        <v>57</v>
      </c>
      <c r="K593" s="163">
        <f t="shared" ca="1" si="125"/>
        <v>57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IFERROR(__xludf.DUMMYFUNCTION("IMPORTRANGE(""https://docs.google.com/spreadsheets/d/1XL5vhW3sbDhbH9Cz0tuDiY8C3ctxq1tqvaCgkFb8cCA/edit?usp=sharing"",""อุบลราชธานี!J489"")"),32.73)</f>
        <v>32.729999999999997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IFERROR(__xludf.DUMMYFUNCTION("IMPORTRANGE(""https://docs.google.com/spreadsheets/d/1XL5vhW3sbDhbH9Cz0tuDiY8C3ctxq1tqvaCgkFb8cCA/edit?usp=sharing"",""อุบลราชธานี!J490"")"),11)</f>
        <v>11</v>
      </c>
      <c r="K595" s="163">
        <f t="shared" ca="1" si="125"/>
        <v>11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IFERROR(__xludf.DUMMYFUNCTION("IMPORTRANGE(""https://docs.google.com/spreadsheets/d/1XL5vhW3sbDhbH9Cz0tuDiY8C3ctxq1tqvaCgkFb8cCA/edit?usp=sharing"",""อุบลราชธานี!I491"")"),0)</f>
        <v>0</v>
      </c>
      <c r="J596" s="241">
        <f ca="1">IFERROR(__xludf.DUMMYFUNCTION("IMPORTRANGE(""https://docs.google.com/spreadsheets/d/1XL5vhW3sbDhbH9Cz0tuDiY8C3ctxq1tqvaCgkFb8cCA/edit?usp=sharing"",""อุบลราชธานี!J491"")"),4.12)</f>
        <v>4.12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7">
        <f ca="1">IFERROR(__xludf.DUMMYFUNCTION("IMPORTRANGE(""https://docs.google.com/spreadsheets/d/1XL5vhW3sbDhbH9Cz0tuDiY8C3ctxq1tqvaCgkFb8cCA/edit?usp=sharing"",""อุบลราชธานี!J492"")"),0)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IFERROR(__xludf.DUMMYFUNCTION("IMPORTRANGE(""https://docs.google.com/spreadsheets/d/1XL5vhW3sbDhbH9Cz0tuDiY8C3ctxq1tqvaCgkFb8cCA/edit?usp=sharing"",""อุบลราชธานี!L492"")"),4550)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IFERROR(__xludf.DUMMYFUNCTION("IMPORTRANGE(""https://docs.google.com/spreadsheets/d/1XL5vhW3sbDhbH9Cz0tuDiY8C3ctxq1tqvaCgkFb8cCA/edit?usp=sharing"",""อุบลราชธานี!M492"")"),2520)</f>
        <v>2520</v>
      </c>
      <c r="O597" s="412">
        <f t="shared" ref="O597:O601" ca="1" si="126">+IF(L597&gt;0,N597*100/L597,0)</f>
        <v>55.384615384615387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IFERROR(__xludf.DUMMYFUNCTION("IMPORTRANGE(""https://docs.google.com/spreadsheets/d/1XL5vhW3sbDhbH9Cz0tuDiY8C3ctxq1tqvaCgkFb8cCA/edit?usp=sharing"",""อุบลราชธานี!M494"")"),2520)</f>
        <v>2520</v>
      </c>
      <c r="O599" s="169">
        <f t="shared" ca="1" si="126"/>
        <v>55.384615384615387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IFERROR(__xludf.DUMMYFUNCTION("IMPORTRANGE(""https://docs.google.com/spreadsheets/d/1XL5vhW3sbDhbH9Cz0tuDiY8C3ctxq1tqvaCgkFb8cCA/edit?usp=sharing"",""อุบลราชธานี!M496"")"),2520)</f>
        <v>2520</v>
      </c>
      <c r="O601" s="169">
        <f t="shared" ca="1" si="126"/>
        <v>55.384615384615387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IFERROR(__xludf.DUMMYFUNCTION("IMPORTRANGE(""https://docs.google.com/spreadsheets/d/1XL5vhW3sbDhbH9Cz0tuDiY8C3ctxq1tqvaCgkFb8cCA/edit?usp=sharing"",""อุบลราชธานี!M500"")"),2520)</f>
        <v>2520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1">
        <f ca="1">IFERROR(__xludf.DUMMYFUNCTION("IMPORTRANGE(""https://docs.google.com/spreadsheets/d/1XL5vhW3sbDhbH9Cz0tuDiY8C3ctxq1tqvaCgkFb8cCA/edit?usp=sharing"",""อุบลราชธานี!J523"")"),5715141.38)</f>
        <v>5715141.3799999999</v>
      </c>
      <c r="K628" s="342">
        <f t="shared" ref="K628:K635" ca="1" si="129">IF(I628&gt;0,J628*100/I628,0)</f>
        <v>107.91733574939825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IFERROR(__xludf.DUMMYFUNCTION("IMPORTRANGE(""https://docs.google.com/spreadsheets/d/1XL5vhW3sbDhbH9Cz0tuDiY8C3ctxq1tqvaCgkFb8cCA/edit?usp=sharing"",""อุบลราชธานี!I524"")"),285)</f>
        <v>285</v>
      </c>
      <c r="J629" s="341">
        <f ca="1">IFERROR(__xludf.DUMMYFUNCTION("IMPORTRANGE(""https://docs.google.com/spreadsheets/d/1XL5vhW3sbDhbH9Cz0tuDiY8C3ctxq1tqvaCgkFb8cCA/edit?usp=sharing"",""อุบลราชธานี!J524"")"),273)</f>
        <v>273</v>
      </c>
      <c r="K629" s="342">
        <f t="shared" ca="1" si="129"/>
        <v>95.78947368421052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1">
        <f ca="1">IFERROR(__xludf.DUMMYFUNCTION("IMPORTRANGE(""https://docs.google.com/spreadsheets/d/1XL5vhW3sbDhbH9Cz0tuDiY8C3ctxq1tqvaCgkFb8cCA/edit?usp=sharing"",""อุบลราชธานี!J525"")"),731877.44)</f>
        <v>731877.44</v>
      </c>
      <c r="K630" s="342">
        <f t="shared" ca="1" si="129"/>
        <v>16.528990953990917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IFERROR(__xludf.DUMMYFUNCTION("IMPORTRANGE(""https://docs.google.com/spreadsheets/d/1XL5vhW3sbDhbH9Cz0tuDiY8C3ctxq1tqvaCgkFb8cCA/edit?usp=sharing"",""อุบลราชธานี!I526"")"),261)</f>
        <v>261</v>
      </c>
      <c r="J631" s="341">
        <f ca="1">IFERROR(__xludf.DUMMYFUNCTION("IMPORTRANGE(""https://docs.google.com/spreadsheets/d/1XL5vhW3sbDhbH9Cz0tuDiY8C3ctxq1tqvaCgkFb8cCA/edit?usp=sharing"",""อุบลราชธานี!J526"")"),107)</f>
        <v>107</v>
      </c>
      <c r="K631" s="342">
        <f t="shared" ca="1" si="129"/>
        <v>40.996168582375482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1">
        <f ca="1">IFERROR(__xludf.DUMMYFUNCTION("IMPORTRANGE(""https://docs.google.com/spreadsheets/d/1XL5vhW3sbDhbH9Cz0tuDiY8C3ctxq1tqvaCgkFb8cCA/edit?usp=sharing"",""อุบลราชธานี!J527"")"),405814.72)</f>
        <v>405814.72</v>
      </c>
      <c r="K632" s="342">
        <f t="shared" ca="1" si="129"/>
        <v>120.75752871926765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IFERROR(__xludf.DUMMYFUNCTION("IMPORTRANGE(""https://docs.google.com/spreadsheets/d/1XL5vhW3sbDhbH9Cz0tuDiY8C3ctxq1tqvaCgkFb8cCA/edit?usp=sharing"",""อุบลราชธานี!I528"")"),165)</f>
        <v>165</v>
      </c>
      <c r="J633" s="341">
        <f ca="1">IFERROR(__xludf.DUMMYFUNCTION("IMPORTRANGE(""https://docs.google.com/spreadsheets/d/1XL5vhW3sbDhbH9Cz0tuDiY8C3ctxq1tqvaCgkFb8cCA/edit?usp=sharing"",""อุบลราชธานี!J528"")"),129)</f>
        <v>129</v>
      </c>
      <c r="K633" s="342">
        <f t="shared" ca="1" si="129"/>
        <v>78.181818181818187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1">
        <f ca="1">IFERROR(__xludf.DUMMYFUNCTION("IMPORTRANGE(""https://docs.google.com/spreadsheets/d/1XL5vhW3sbDhbH9Cz0tuDiY8C3ctxq1tqvaCgkFb8cCA/edit?usp=sharing"",""อุบลราชธานี!J529"")"),6050000)</f>
        <v>6050000</v>
      </c>
      <c r="K634" s="342">
        <f t="shared" ca="1" si="129"/>
        <v>78.266494178525221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IFERROR(__xludf.DUMMYFUNCTION("IMPORTRANGE(""https://docs.google.com/spreadsheets/d/1XL5vhW3sbDhbH9Cz0tuDiY8C3ctxq1tqvaCgkFb8cCA/edit?usp=sharing"",""อุบลราชธานี!I530"")"),189)</f>
        <v>189</v>
      </c>
      <c r="J635" s="504">
        <f ca="1">IFERROR(__xludf.DUMMYFUNCTION("IMPORTRANGE(""https://docs.google.com/spreadsheets/d/1XL5vhW3sbDhbH9Cz0tuDiY8C3ctxq1tqvaCgkFb8cCA/edit?usp=sharing"",""อุบลราชธานี!J530"")"),144)</f>
        <v>144</v>
      </c>
      <c r="K635" s="486">
        <f t="shared" ca="1" si="129"/>
        <v>76.19047619047619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07"/>
      <c r="J636" s="507"/>
      <c r="K636" s="508"/>
      <c r="L636" s="509">
        <f ca="1">SUM(L637,L638)</f>
        <v>5360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59"/>
    </row>
    <row r="637" spans="1:16" ht="21.75" customHeight="1" x14ac:dyDescent="0.3">
      <c r="A637" s="511"/>
      <c r="B637" s="512"/>
      <c r="C637" s="513" t="s">
        <v>16</v>
      </c>
      <c r="D637" s="671" t="s">
        <v>77</v>
      </c>
      <c r="E637" s="641"/>
      <c r="F637" s="641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7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5360</v>
      </c>
      <c r="M638" s="520"/>
      <c r="N638" s="521">
        <f ca="1">SUM(N639:N640)</f>
        <v>0</v>
      </c>
      <c r="O638" s="521">
        <f t="shared" ca="1" si="130"/>
        <v>0</v>
      </c>
      <c r="P638" s="57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7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5360</v>
      </c>
      <c r="M640" s="520"/>
      <c r="N640" s="521">
        <f ca="1">SUM(N641:N644)</f>
        <v>0</v>
      </c>
      <c r="O640" s="521">
        <f t="shared" ca="1" si="130"/>
        <v>0</v>
      </c>
      <c r="P640" s="57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3"/>
      <c r="M641" s="520"/>
      <c r="N641" s="521">
        <v>0</v>
      </c>
      <c r="O641" s="523"/>
      <c r="P641" s="573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3"/>
      <c r="M642" s="520"/>
      <c r="N642" s="521">
        <v>0</v>
      </c>
      <c r="O642" s="523"/>
      <c r="P642" s="573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3"/>
      <c r="M643" s="520"/>
      <c r="N643" s="521">
        <v>0</v>
      </c>
      <c r="O643" s="523"/>
      <c r="P643" s="573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4"/>
      <c r="J644" s="522"/>
      <c r="K644" s="523"/>
      <c r="L644" s="523"/>
      <c r="M644" s="520"/>
      <c r="N644" s="521">
        <f ca="1">N648+N649+N650+N651+N661+N665+N668+N671</f>
        <v>0</v>
      </c>
      <c r="O644" s="523"/>
      <c r="P644" s="573"/>
    </row>
    <row r="645" spans="1:16" ht="21.75" customHeight="1" x14ac:dyDescent="0.3">
      <c r="A645" s="525"/>
      <c r="B645" s="526"/>
      <c r="C645" s="513" t="s">
        <v>16</v>
      </c>
      <c r="D645" s="672" t="s">
        <v>242</v>
      </c>
      <c r="E645" s="641"/>
      <c r="F645" s="641"/>
      <c r="G645" s="667"/>
      <c r="H645" s="517"/>
      <c r="I645" s="517"/>
      <c r="J645" s="517"/>
      <c r="K645" s="518"/>
      <c r="L645" s="520"/>
      <c r="M645" s="520"/>
      <c r="N645" s="520"/>
      <c r="O645" s="518"/>
      <c r="P645" s="568"/>
    </row>
    <row r="646" spans="1:16" ht="21.75" customHeight="1" x14ac:dyDescent="0.3">
      <c r="A646" s="525"/>
      <c r="B646" s="526"/>
      <c r="C646" s="526"/>
      <c r="D646" s="527">
        <v>1</v>
      </c>
      <c r="E646" s="673" t="s">
        <v>44</v>
      </c>
      <c r="F646" s="641"/>
      <c r="G646" s="667"/>
      <c r="H646" s="522"/>
      <c r="I646" s="528"/>
      <c r="J646" s="529">
        <f ca="1">IFERROR(__xludf.DUMMYFUNCTION("IMPORTRANGE(""https://docs.google.com/spreadsheets/d/1XL5vhW3sbDhbH9Cz0tuDiY8C3ctxq1tqvaCgkFb8cCA/edit#gid=346597447"",""อุบลราชธานี!J541"")"),0)</f>
        <v>0</v>
      </c>
      <c r="K646" s="518"/>
      <c r="L646" s="520"/>
      <c r="M646" s="520"/>
      <c r="N646" s="530"/>
      <c r="O646" s="518"/>
      <c r="P646" s="568"/>
    </row>
    <row r="647" spans="1:16" ht="21.75" customHeight="1" x14ac:dyDescent="0.3">
      <c r="A647" s="525"/>
      <c r="B647" s="526"/>
      <c r="C647" s="526"/>
      <c r="D647" s="531">
        <v>2</v>
      </c>
      <c r="E647" s="674" t="s">
        <v>243</v>
      </c>
      <c r="F647" s="641"/>
      <c r="G647" s="667"/>
      <c r="H647" s="522"/>
      <c r="I647" s="528"/>
      <c r="J647" s="529">
        <f ca="1">IFERROR(__xludf.DUMMYFUNCTION("IMPORTRANGE(""https://docs.google.com/spreadsheets/d/1XL5vhW3sbDhbH9Cz0tuDiY8C3ctxq1tqvaCgkFb8cCA/edit#gid=346597447"",""อุบลราชธานี!J542"")"),0)</f>
        <v>0</v>
      </c>
      <c r="K647" s="518"/>
      <c r="L647" s="520"/>
      <c r="M647" s="520"/>
      <c r="N647" s="520"/>
      <c r="O647" s="518"/>
      <c r="P647" s="568"/>
    </row>
    <row r="648" spans="1:16" ht="21.75" customHeight="1" x14ac:dyDescent="0.3">
      <c r="A648" s="511"/>
      <c r="B648" s="512"/>
      <c r="C648" s="512"/>
      <c r="D648" s="512"/>
      <c r="E648" s="512"/>
      <c r="F648" s="666" t="s">
        <v>244</v>
      </c>
      <c r="G648" s="667"/>
      <c r="H648" s="515" t="s">
        <v>122</v>
      </c>
      <c r="I648" s="532">
        <f ca="1">IFERROR(__xludf.DUMMYFUNCTION("IMPORTRANGE(""https://docs.google.com/spreadsheets/d/1XL5vhW3sbDhbH9Cz0tuDiY8C3ctxq1tqvaCgkFb8cCA/edit#gid=346597447"",""อุบลราชธานี!I543"")"),52)</f>
        <v>52</v>
      </c>
      <c r="J648" s="533">
        <f ca="1">IFERROR(__xludf.DUMMYFUNCTION("IMPORTRANGE(""https://docs.google.com/spreadsheets/d/1XL5vhW3sbDhbH9Cz0tuDiY8C3ctxq1tqvaCgkFb8cCA/edit#gid=346597447"",""อุบลราชธานี!J543"")"),0)</f>
        <v>0</v>
      </c>
      <c r="K648" s="534">
        <f t="shared" ref="K648:K651" ca="1" si="131">IF(I648&gt;0,J648*100/I648,0)</f>
        <v>0</v>
      </c>
      <c r="L648" s="521">
        <f ca="1">IFERROR(__xludf.DUMMYFUNCTION("IMPORTRANGE(""https://docs.google.com/spreadsheets/d/1XL5vhW3sbDhbH9Cz0tuDiY8C3ctxq1tqvaCgkFb8cCA/edit#gid=346597447"",""อุบลราชธานี!L543"")"),4160)</f>
        <v>4160</v>
      </c>
      <c r="M648" s="520"/>
      <c r="N648" s="535">
        <f ca="1">IFERROR(__xludf.DUMMYFUNCTION("IMPORTRANGE(""https://docs.google.com/spreadsheets/d/1XL5vhW3sbDhbH9Cz0tuDiY8C3ctxq1tqvaCgkFb8cCA/edit#gid=346597447"",""อุบลราชธานี!M543"")"),0)</f>
        <v>0</v>
      </c>
      <c r="O648" s="534">
        <f t="shared" ref="O648:O651" ca="1" si="132">IF(L648&gt;0,N648*100/L648,0)</f>
        <v>0</v>
      </c>
      <c r="P648" s="586"/>
    </row>
    <row r="649" spans="1:16" ht="21.75" customHeight="1" x14ac:dyDescent="0.3">
      <c r="A649" s="511"/>
      <c r="B649" s="512"/>
      <c r="C649" s="512"/>
      <c r="D649" s="512"/>
      <c r="E649" s="512"/>
      <c r="F649" s="666" t="s">
        <v>245</v>
      </c>
      <c r="G649" s="667"/>
      <c r="H649" s="515" t="s">
        <v>37</v>
      </c>
      <c r="I649" s="532">
        <f ca="1">IFERROR(__xludf.DUMMYFUNCTION("IMPORTRANGE(""https://docs.google.com/spreadsheets/d/1XL5vhW3sbDhbH9Cz0tuDiY8C3ctxq1tqvaCgkFb8cCA/edit#gid=346597447"",""อุบลราชธานี!I544"")"),10)</f>
        <v>10</v>
      </c>
      <c r="J649" s="533">
        <f ca="1">IFERROR(__xludf.DUMMYFUNCTION("IMPORTRANGE(""https://docs.google.com/spreadsheets/d/1XL5vhW3sbDhbH9Cz0tuDiY8C3ctxq1tqvaCgkFb8cCA/edit#gid=346597447"",""อุบลราชธานี!J544"")"),0)</f>
        <v>0</v>
      </c>
      <c r="K649" s="534">
        <f t="shared" ca="1" si="131"/>
        <v>0</v>
      </c>
      <c r="L649" s="521">
        <f ca="1">IFERROR(__xludf.DUMMYFUNCTION("IMPORTRANGE(""https://docs.google.com/spreadsheets/d/1XL5vhW3sbDhbH9Cz0tuDiY8C3ctxq1tqvaCgkFb8cCA/edit#gid=346597447"",""อุบลราชธานี!L544"")"),1200)</f>
        <v>1200</v>
      </c>
      <c r="M649" s="520"/>
      <c r="N649" s="535">
        <f ca="1">IFERROR(__xludf.DUMMYFUNCTION("IMPORTRANGE(""https://docs.google.com/spreadsheets/d/1XL5vhW3sbDhbH9Cz0tuDiY8C3ctxq1tqvaCgkFb8cCA/edit#gid=346597447"",""อุบลราชธานี!M544"")"),0)</f>
        <v>0</v>
      </c>
      <c r="O649" s="534">
        <f t="shared" ca="1" si="132"/>
        <v>0</v>
      </c>
      <c r="P649" s="586"/>
    </row>
    <row r="650" spans="1:16" ht="21.75" customHeight="1" x14ac:dyDescent="0.3">
      <c r="A650" s="511"/>
      <c r="B650" s="512"/>
      <c r="C650" s="512"/>
      <c r="D650" s="512"/>
      <c r="E650" s="512"/>
      <c r="F650" s="666" t="s">
        <v>246</v>
      </c>
      <c r="G650" s="667"/>
      <c r="H650" s="515" t="s">
        <v>122</v>
      </c>
      <c r="I650" s="532">
        <f ca="1">IFERROR(__xludf.DUMMYFUNCTION("IMPORTRANGE(""https://docs.google.com/spreadsheets/d/1XL5vhW3sbDhbH9Cz0tuDiY8C3ctxq1tqvaCgkFb8cCA/edit#gid=346597447"",""อุบลราชธานี!I545"")"),0)</f>
        <v>0</v>
      </c>
      <c r="J650" s="533">
        <f ca="1">IFERROR(__xludf.DUMMYFUNCTION("IMPORTRANGE(""https://docs.google.com/spreadsheets/d/1XL5vhW3sbDhbH9Cz0tuDiY8C3ctxq1tqvaCgkFb8cCA/edit#gid=346597447"",""อุบลราชธานี!J545"")"),0)</f>
        <v>0</v>
      </c>
      <c r="K650" s="534">
        <f t="shared" ca="1" si="131"/>
        <v>0</v>
      </c>
      <c r="L650" s="521">
        <f ca="1">IFERROR(__xludf.DUMMYFUNCTION("IMPORTRANGE(""https://docs.google.com/spreadsheets/d/1XL5vhW3sbDhbH9Cz0tuDiY8C3ctxq1tqvaCgkFb8cCA/edit#gid=346597447"",""อุบลราชธานี!L545"")"),0)</f>
        <v>0</v>
      </c>
      <c r="M650" s="520"/>
      <c r="N650" s="535">
        <f ca="1">IFERROR(__xludf.DUMMYFUNCTION("IMPORTRANGE(""https://docs.google.com/spreadsheets/d/1XL5vhW3sbDhbH9Cz0tuDiY8C3ctxq1tqvaCgkFb8cCA/edit#gid=346597447"",""อุบลราชธานี!M545"")"),0)</f>
        <v>0</v>
      </c>
      <c r="O650" s="534">
        <f t="shared" ca="1" si="132"/>
        <v>0</v>
      </c>
      <c r="P650" s="586"/>
    </row>
    <row r="651" spans="1:16" ht="21.75" customHeight="1" x14ac:dyDescent="0.3">
      <c r="A651" s="511"/>
      <c r="B651" s="512"/>
      <c r="C651" s="512"/>
      <c r="D651" s="512"/>
      <c r="E651" s="512"/>
      <c r="F651" s="666" t="s">
        <v>247</v>
      </c>
      <c r="G651" s="667"/>
      <c r="H651" s="515" t="s">
        <v>122</v>
      </c>
      <c r="I651" s="532">
        <f ca="1">IFERROR(__xludf.DUMMYFUNCTION("IMPORTRANGE(""https://docs.google.com/spreadsheets/d/1XL5vhW3sbDhbH9Cz0tuDiY8C3ctxq1tqvaCgkFb8cCA/edit#gid=346597447"",""อุบลราชธานี!I546"")"),0)</f>
        <v>0</v>
      </c>
      <c r="J651" s="533">
        <f ca="1">J657+J660</f>
        <v>0</v>
      </c>
      <c r="K651" s="534">
        <f t="shared" ca="1" si="131"/>
        <v>0</v>
      </c>
      <c r="L651" s="521">
        <f ca="1">IFERROR(__xludf.DUMMYFUNCTION("IMPORTRANGE(""https://docs.google.com/spreadsheets/d/1XL5vhW3sbDhbH9Cz0tuDiY8C3ctxq1tqvaCgkFb8cCA/edit#gid=346597447"",""อุบลราชธานี!L546"")"),0)</f>
        <v>0</v>
      </c>
      <c r="M651" s="520"/>
      <c r="N651" s="535">
        <f ca="1">IFERROR(__xludf.DUMMYFUNCTION("IMPORTRANGE(""https://docs.google.com/spreadsheets/d/1XL5vhW3sbDhbH9Cz0tuDiY8C3ctxq1tqvaCgkFb8cCA/edit#gid=346597447"",""อุบลราชธานี!M546"")"),0)</f>
        <v>0</v>
      </c>
      <c r="O651" s="534">
        <f t="shared" ca="1" si="132"/>
        <v>0</v>
      </c>
      <c r="P651" s="58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6"/>
      <c r="J652" s="529">
        <f ca="1">IFERROR(__xludf.DUMMYFUNCTION("IMPORTRANGE(""https://docs.google.com/spreadsheets/d/1XL5vhW3sbDhbH9Cz0tuDiY8C3ctxq1tqvaCgkFb8cCA/edit#gid=346597447"",""อุบลราชธานี!J547"")"),0)</f>
        <v>0</v>
      </c>
      <c r="K652" s="534"/>
      <c r="L652" s="520"/>
      <c r="M652" s="520"/>
      <c r="N652" s="520"/>
      <c r="O652" s="518"/>
      <c r="P652" s="56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22"/>
      <c r="H653" s="515" t="s">
        <v>122</v>
      </c>
      <c r="I653" s="536"/>
      <c r="J653" s="529">
        <f ca="1">IFERROR(__xludf.DUMMYFUNCTION("IMPORTRANGE(""https://docs.google.com/spreadsheets/d/1XL5vhW3sbDhbH9Cz0tuDiY8C3ctxq1tqvaCgkFb8cCA/edit#gid=346597447"",""อุบลราชธานี!J548"")"),0)</f>
        <v>0</v>
      </c>
      <c r="K653" s="534"/>
      <c r="L653" s="520"/>
      <c r="M653" s="520"/>
      <c r="N653" s="520"/>
      <c r="O653" s="518"/>
      <c r="P653" s="56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6"/>
      <c r="J654" s="537"/>
      <c r="K654" s="534"/>
      <c r="L654" s="520"/>
      <c r="M654" s="520"/>
      <c r="N654" s="520"/>
      <c r="O654" s="518"/>
      <c r="P654" s="56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6"/>
      <c r="J655" s="529">
        <f ca="1">IFERROR(__xludf.DUMMYFUNCTION("IMPORTRANGE(""https://docs.google.com/spreadsheets/d/1XL5vhW3sbDhbH9Cz0tuDiY8C3ctxq1tqvaCgkFb8cCA/edit#gid=346597447"",""อุบลราชธานี!J550"")"),0)</f>
        <v>0</v>
      </c>
      <c r="K655" s="534"/>
      <c r="L655" s="520"/>
      <c r="M655" s="520"/>
      <c r="N655" s="520"/>
      <c r="O655" s="518"/>
      <c r="P655" s="56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22"/>
      <c r="H656" s="515" t="s">
        <v>36</v>
      </c>
      <c r="I656" s="536"/>
      <c r="J656" s="529">
        <f ca="1">IFERROR(__xludf.DUMMYFUNCTION("IMPORTRANGE(""https://docs.google.com/spreadsheets/d/1XL5vhW3sbDhbH9Cz0tuDiY8C3ctxq1tqvaCgkFb8cCA/edit#gid=346597447"",""อุบลราชธานี!J551"")"),0)</f>
        <v>0</v>
      </c>
      <c r="K656" s="534"/>
      <c r="L656" s="520"/>
      <c r="M656" s="520"/>
      <c r="N656" s="520"/>
      <c r="O656" s="518"/>
      <c r="P656" s="56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22"/>
      <c r="H657" s="515" t="s">
        <v>122</v>
      </c>
      <c r="I657" s="536"/>
      <c r="J657" s="529">
        <f ca="1">IFERROR(__xludf.DUMMYFUNCTION("IMPORTRANGE(""https://docs.google.com/spreadsheets/d/1XL5vhW3sbDhbH9Cz0tuDiY8C3ctxq1tqvaCgkFb8cCA/edit#gid=346597447"",""อุบลราชธานี!J552"")"),0)</f>
        <v>0</v>
      </c>
      <c r="K657" s="534"/>
      <c r="L657" s="520"/>
      <c r="M657" s="520"/>
      <c r="N657" s="520"/>
      <c r="O657" s="518"/>
      <c r="P657" s="56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6"/>
      <c r="J658" s="529">
        <f ca="1">IFERROR(__xludf.DUMMYFUNCTION("IMPORTRANGE(""https://docs.google.com/spreadsheets/d/1XL5vhW3sbDhbH9Cz0tuDiY8C3ctxq1tqvaCgkFb8cCA/edit#gid=346597447"",""อุบลราชธานี!J553"")"),0)</f>
        <v>0</v>
      </c>
      <c r="K658" s="534"/>
      <c r="L658" s="520"/>
      <c r="M658" s="520"/>
      <c r="N658" s="520"/>
      <c r="O658" s="518"/>
      <c r="P658" s="56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22"/>
      <c r="H659" s="515" t="s">
        <v>36</v>
      </c>
      <c r="I659" s="536"/>
      <c r="J659" s="529">
        <f ca="1">IFERROR(__xludf.DUMMYFUNCTION("IMPORTRANGE(""https://docs.google.com/spreadsheets/d/1XL5vhW3sbDhbH9Cz0tuDiY8C3ctxq1tqvaCgkFb8cCA/edit#gid=346597447"",""อุบลราชธานี!J554"")"),0)</f>
        <v>0</v>
      </c>
      <c r="K659" s="534"/>
      <c r="L659" s="520"/>
      <c r="M659" s="520"/>
      <c r="N659" s="520"/>
      <c r="O659" s="518"/>
      <c r="P659" s="56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22"/>
      <c r="H660" s="515" t="s">
        <v>122</v>
      </c>
      <c r="I660" s="536"/>
      <c r="J660" s="529">
        <f ca="1">IFERROR(__xludf.DUMMYFUNCTION("IMPORTRANGE(""https://docs.google.com/spreadsheets/d/1XL5vhW3sbDhbH9Cz0tuDiY8C3ctxq1tqvaCgkFb8cCA/edit#gid=346597447"",""อุบลราชธานี!J555"")"),0)</f>
        <v>0</v>
      </c>
      <c r="K660" s="534"/>
      <c r="L660" s="520"/>
      <c r="M660" s="520"/>
      <c r="N660" s="520"/>
      <c r="O660" s="518"/>
      <c r="P660" s="568"/>
    </row>
    <row r="661" spans="1:16" ht="21.75" customHeight="1" x14ac:dyDescent="0.3">
      <c r="A661" s="511"/>
      <c r="B661" s="512"/>
      <c r="C661" s="512"/>
      <c r="D661" s="512"/>
      <c r="E661" s="512"/>
      <c r="F661" s="666" t="s">
        <v>252</v>
      </c>
      <c r="G661" s="667"/>
      <c r="H661" s="515" t="s">
        <v>37</v>
      </c>
      <c r="I661" s="536"/>
      <c r="J661" s="533">
        <f ca="1">IFERROR(__xludf.DUMMYFUNCTION("IMPORTRANGE(""https://docs.google.com/spreadsheets/d/1XL5vhW3sbDhbH9Cz0tuDiY8C3ctxq1tqvaCgkFb8cCA/edit#gid=346597447"",""อุบลราชธานี!J556"")"),0)</f>
        <v>0</v>
      </c>
      <c r="K661" s="534"/>
      <c r="L661" s="521">
        <f ca="1">IFERROR(__xludf.DUMMYFUNCTION("IMPORTRANGE(""https://docs.google.com/spreadsheets/d/1XL5vhW3sbDhbH9Cz0tuDiY8C3ctxq1tqvaCgkFb8cCA/edit#gid=346597447"",""อุบลราชธานี!L556"")"),0)</f>
        <v>0</v>
      </c>
      <c r="M661" s="520"/>
      <c r="N661" s="535">
        <f ca="1">IFERROR(__xludf.DUMMYFUNCTION("IMPORTRANGE(""https://docs.google.com/spreadsheets/d/1XL5vhW3sbDhbH9Cz0tuDiY8C3ctxq1tqvaCgkFb8cCA/edit#gid=346597447"",""อุบลราชธานี!M556"")"),0)</f>
        <v>0</v>
      </c>
      <c r="O661" s="534">
        <f ca="1">IF(L661&gt;0,N661*100/L661,0)</f>
        <v>0</v>
      </c>
      <c r="P661" s="58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22"/>
      <c r="H662" s="515" t="s">
        <v>36</v>
      </c>
      <c r="I662" s="536"/>
      <c r="J662" s="533">
        <f ca="1">IFERROR(__xludf.DUMMYFUNCTION("IMPORTRANGE(""https://docs.google.com/spreadsheets/d/1XL5vhW3sbDhbH9Cz0tuDiY8C3ctxq1tqvaCgkFb8cCA/edit#gid=346597447"",""อุบลราชธานี!J557"")"),0)</f>
        <v>0</v>
      </c>
      <c r="K662" s="534"/>
      <c r="L662" s="520"/>
      <c r="M662" s="520"/>
      <c r="N662" s="520"/>
      <c r="O662" s="518"/>
      <c r="P662" s="56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22"/>
      <c r="H663" s="515" t="s">
        <v>122</v>
      </c>
      <c r="I663" s="532">
        <f ca="1">IFERROR(__xludf.DUMMYFUNCTION("IMPORTRANGE(""https://docs.google.com/spreadsheets/d/1XL5vhW3sbDhbH9Cz0tuDiY8C3ctxq1tqvaCgkFb8cCA/edit#gid=346597447"",""อุบลราชธานี!I558"")"),0)</f>
        <v>0</v>
      </c>
      <c r="J663" s="533">
        <f ca="1">IFERROR(__xludf.DUMMYFUNCTION("IMPORTRANGE(""https://docs.google.com/spreadsheets/d/1XL5vhW3sbDhbH9Cz0tuDiY8C3ctxq1tqvaCgkFb8cCA/edit#gid=346597447"",""อุบลราชธานี!J558"")"),0)</f>
        <v>0</v>
      </c>
      <c r="K663" s="534">
        <f ca="1">IF(I663&gt;0,J663*100/I663,0)</f>
        <v>0</v>
      </c>
      <c r="L663" s="520"/>
      <c r="M663" s="520"/>
      <c r="N663" s="520"/>
      <c r="O663" s="518"/>
      <c r="P663" s="568"/>
    </row>
    <row r="664" spans="1:16" ht="21.75" customHeight="1" x14ac:dyDescent="0.3">
      <c r="A664" s="511"/>
      <c r="B664" s="512"/>
      <c r="C664" s="512"/>
      <c r="D664" s="512"/>
      <c r="E664" s="512"/>
      <c r="F664" s="666" t="s">
        <v>253</v>
      </c>
      <c r="G664" s="667"/>
      <c r="H664" s="517"/>
      <c r="I664" s="536"/>
      <c r="J664" s="537"/>
      <c r="K664" s="534"/>
      <c r="L664" s="520"/>
      <c r="M664" s="520"/>
      <c r="N664" s="530"/>
      <c r="O664" s="518"/>
      <c r="P664" s="56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2">
        <f ca="1">IFERROR(__xludf.DUMMYFUNCTION("IMPORTRANGE(""https://docs.google.com/spreadsheets/d/1XL5vhW3sbDhbH9Cz0tuDiY8C3ctxq1tqvaCgkFb8cCA/edit#gid=346597447"",""อุบลราชธานี!I560"")"),0)</f>
        <v>0</v>
      </c>
      <c r="J665" s="533">
        <f ca="1">IFERROR(__xludf.DUMMYFUNCTION("IMPORTRANGE(""https://docs.google.com/spreadsheets/d/1XL5vhW3sbDhbH9Cz0tuDiY8C3ctxq1tqvaCgkFb8cCA/edit#gid=346597447"",""อุบลราชธานี!J560"")"),0)</f>
        <v>0</v>
      </c>
      <c r="K665" s="534">
        <f ca="1">IF(I665&gt;0,J665*100/I665,0)</f>
        <v>0</v>
      </c>
      <c r="L665" s="521">
        <f ca="1">IFERROR(__xludf.DUMMYFUNCTION("IMPORTRANGE(""https://docs.google.com/spreadsheets/d/1XL5vhW3sbDhbH9Cz0tuDiY8C3ctxq1tqvaCgkFb8cCA/edit#gid=346597447"",""อุบลราชธานี!L560"")"),0)</f>
        <v>0</v>
      </c>
      <c r="M665" s="520"/>
      <c r="N665" s="535">
        <f ca="1">IFERROR(__xludf.DUMMYFUNCTION("IMPORTRANGE(""https://docs.google.com/spreadsheets/d/1XL5vhW3sbDhbH9Cz0tuDiY8C3ctxq1tqvaCgkFb8cCA/edit#gid=346597447"",""อุบลราชธานี!M560"")"),0)</f>
        <v>0</v>
      </c>
      <c r="O665" s="534">
        <f ca="1">IF(L665&gt;0,N665*100/L665,0)</f>
        <v>0</v>
      </c>
      <c r="P665" s="58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22"/>
      <c r="H666" s="515" t="s">
        <v>36</v>
      </c>
      <c r="I666" s="536"/>
      <c r="J666" s="533">
        <f ca="1">IFERROR(__xludf.DUMMYFUNCTION("IMPORTRANGE(""https://docs.google.com/spreadsheets/d/1XL5vhW3sbDhbH9Cz0tuDiY8C3ctxq1tqvaCgkFb8cCA/edit#gid=346597447"",""อุบลราชธานี!J561"")"),0)</f>
        <v>0</v>
      </c>
      <c r="K666" s="534"/>
      <c r="L666" s="520"/>
      <c r="M666" s="520"/>
      <c r="N666" s="520"/>
      <c r="O666" s="518"/>
      <c r="P666" s="56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22"/>
      <c r="H667" s="515" t="s">
        <v>122</v>
      </c>
      <c r="I667" s="536"/>
      <c r="J667" s="533">
        <f ca="1">IFERROR(__xludf.DUMMYFUNCTION("IMPORTRANGE(""https://docs.google.com/spreadsheets/d/1XL5vhW3sbDhbH9Cz0tuDiY8C3ctxq1tqvaCgkFb8cCA/edit#gid=346597447"",""อุบลราชธานี!J562"")"),0)</f>
        <v>0</v>
      </c>
      <c r="K667" s="534"/>
      <c r="L667" s="520"/>
      <c r="M667" s="520"/>
      <c r="N667" s="520"/>
      <c r="O667" s="518"/>
      <c r="P667" s="56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2">
        <f ca="1">IFERROR(__xludf.DUMMYFUNCTION("IMPORTRANGE(""https://docs.google.com/spreadsheets/d/1XL5vhW3sbDhbH9Cz0tuDiY8C3ctxq1tqvaCgkFb8cCA/edit#gid=346597447"",""อุบลราชธานี!I563"")"),0)</f>
        <v>0</v>
      </c>
      <c r="J668" s="533">
        <f ca="1">IFERROR(__xludf.DUMMYFUNCTION("IMPORTRANGE(""https://docs.google.com/spreadsheets/d/1XL5vhW3sbDhbH9Cz0tuDiY8C3ctxq1tqvaCgkFb8cCA/edit#gid=346597447"",""อุบลราชธานี!J563"")"),0)</f>
        <v>0</v>
      </c>
      <c r="K668" s="534">
        <f ca="1">IF(I668&gt;0,J668*100/I668,0)</f>
        <v>0</v>
      </c>
      <c r="L668" s="521">
        <f ca="1">IFERROR(__xludf.DUMMYFUNCTION("IMPORTRANGE(""https://docs.google.com/spreadsheets/d/1XL5vhW3sbDhbH9Cz0tuDiY8C3ctxq1tqvaCgkFb8cCA/edit#gid=346597447"",""อุบลราชธานี!L563"")"),0)</f>
        <v>0</v>
      </c>
      <c r="M668" s="520"/>
      <c r="N668" s="535">
        <f ca="1">IFERROR(__xludf.DUMMYFUNCTION("IMPORTRANGE(""https://docs.google.com/spreadsheets/d/1XL5vhW3sbDhbH9Cz0tuDiY8C3ctxq1tqvaCgkFb8cCA/edit#gid=346597447"",""อุบลราชธานี!M563"")"),0)</f>
        <v>0</v>
      </c>
      <c r="O668" s="534">
        <f ca="1">IF(L668&gt;0,N668*100/L668,0)</f>
        <v>0</v>
      </c>
      <c r="P668" s="58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22"/>
      <c r="H669" s="515" t="s">
        <v>36</v>
      </c>
      <c r="I669" s="536"/>
      <c r="J669" s="533">
        <f ca="1">IFERROR(__xludf.DUMMYFUNCTION("IMPORTRANGE(""https://docs.google.com/spreadsheets/d/1XL5vhW3sbDhbH9Cz0tuDiY8C3ctxq1tqvaCgkFb8cCA/edit#gid=346597447"",""อุบลราชธานี!J564"")"),0)</f>
        <v>0</v>
      </c>
      <c r="K669" s="534"/>
      <c r="L669" s="520"/>
      <c r="M669" s="520"/>
      <c r="N669" s="520"/>
      <c r="O669" s="518"/>
      <c r="P669" s="56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22"/>
      <c r="H670" s="515" t="s">
        <v>122</v>
      </c>
      <c r="I670" s="536"/>
      <c r="J670" s="533">
        <f ca="1">IFERROR(__xludf.DUMMYFUNCTION("IMPORTRANGE(""https://docs.google.com/spreadsheets/d/1XL5vhW3sbDhbH9Cz0tuDiY8C3ctxq1tqvaCgkFb8cCA/edit#gid=346597447"",""อุบลราชธานี!J565"")"),0)</f>
        <v>0</v>
      </c>
      <c r="K670" s="534"/>
      <c r="L670" s="520"/>
      <c r="M670" s="520"/>
      <c r="N670" s="520"/>
      <c r="O670" s="518"/>
      <c r="P670" s="568"/>
    </row>
    <row r="671" spans="1:16" ht="21.75" customHeight="1" x14ac:dyDescent="0.3">
      <c r="A671" s="511"/>
      <c r="B671" s="512"/>
      <c r="C671" s="512"/>
      <c r="D671" s="512"/>
      <c r="E671" s="512"/>
      <c r="F671" s="666" t="s">
        <v>256</v>
      </c>
      <c r="G671" s="667"/>
      <c r="H671" s="515" t="s">
        <v>122</v>
      </c>
      <c r="I671" s="532">
        <f ca="1">IFERROR(__xludf.DUMMYFUNCTION("IMPORTRANGE(""https://docs.google.com/spreadsheets/d/1XL5vhW3sbDhbH9Cz0tuDiY8C3ctxq1tqvaCgkFb8cCA/edit#gid=346597447"",""อุบลราชธานี!I566"")"),0)</f>
        <v>0</v>
      </c>
      <c r="J671" s="533">
        <f ca="1">J674+J677</f>
        <v>0</v>
      </c>
      <c r="K671" s="534">
        <f ca="1">IF(I671&gt;0,J671*100/I671,0)</f>
        <v>0</v>
      </c>
      <c r="L671" s="521">
        <f ca="1">IFERROR(__xludf.DUMMYFUNCTION("IMPORTRANGE(""https://docs.google.com/spreadsheets/d/1XL5vhW3sbDhbH9Cz0tuDiY8C3ctxq1tqvaCgkFb8cCA/edit#gid=346597447"",""อุบลราชธานี!L566"")"),0)</f>
        <v>0</v>
      </c>
      <c r="M671" s="520"/>
      <c r="N671" s="535">
        <f ca="1">IFERROR(__xludf.DUMMYFUNCTION("IMPORTRANGE(""https://docs.google.com/spreadsheets/d/1XL5vhW3sbDhbH9Cz0tuDiY8C3ctxq1tqvaCgkFb8cCA/edit#gid=346597447"",""อุบลราชธานี!M566"")"),0)</f>
        <v>0</v>
      </c>
      <c r="O671" s="534">
        <f ca="1">IF(L671&gt;0,N671*100/L671,0)</f>
        <v>0</v>
      </c>
      <c r="P671" s="58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6"/>
      <c r="J672" s="529">
        <f ca="1">IFERROR(__xludf.DUMMYFUNCTION("IMPORTRANGE(""https://docs.google.com/spreadsheets/d/1XL5vhW3sbDhbH9Cz0tuDiY8C3ctxq1tqvaCgkFb8cCA/edit#gid=346597447"",""อุบลราชธานี!J567"")"),0)</f>
        <v>0</v>
      </c>
      <c r="K672" s="534"/>
      <c r="L672" s="520"/>
      <c r="M672" s="520"/>
      <c r="N672" s="520"/>
      <c r="O672" s="518"/>
      <c r="P672" s="56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22"/>
      <c r="H673" s="515" t="s">
        <v>36</v>
      </c>
      <c r="I673" s="536"/>
      <c r="J673" s="529">
        <f ca="1">IFERROR(__xludf.DUMMYFUNCTION("IMPORTRANGE(""https://docs.google.com/spreadsheets/d/1XL5vhW3sbDhbH9Cz0tuDiY8C3ctxq1tqvaCgkFb8cCA/edit#gid=346597447"",""อุบลราชธานี!J568"")"),0)</f>
        <v>0</v>
      </c>
      <c r="K673" s="534"/>
      <c r="L673" s="520"/>
      <c r="M673" s="520"/>
      <c r="N673" s="520"/>
      <c r="O673" s="518"/>
      <c r="P673" s="56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22"/>
      <c r="H674" s="515" t="s">
        <v>122</v>
      </c>
      <c r="I674" s="536"/>
      <c r="J674" s="529">
        <f ca="1">IFERROR(__xludf.DUMMYFUNCTION("IMPORTRANGE(""https://docs.google.com/spreadsheets/d/1XL5vhW3sbDhbH9Cz0tuDiY8C3ctxq1tqvaCgkFb8cCA/edit#gid=346597447"",""อุบลราชธานี!J569"")"),0)</f>
        <v>0</v>
      </c>
      <c r="K674" s="534"/>
      <c r="L674" s="520"/>
      <c r="M674" s="520"/>
      <c r="N674" s="520"/>
      <c r="O674" s="518"/>
      <c r="P674" s="56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6"/>
      <c r="J675" s="529">
        <f ca="1">IFERROR(__xludf.DUMMYFUNCTION("IMPORTRANGE(""https://docs.google.com/spreadsheets/d/1XL5vhW3sbDhbH9Cz0tuDiY8C3ctxq1tqvaCgkFb8cCA/edit#gid=346597447"",""อุบลราชธานี!J570"")"),0)</f>
        <v>0</v>
      </c>
      <c r="K675" s="534"/>
      <c r="L675" s="520"/>
      <c r="M675" s="520"/>
      <c r="N675" s="520"/>
      <c r="O675" s="518"/>
      <c r="P675" s="56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22"/>
      <c r="H676" s="515" t="s">
        <v>36</v>
      </c>
      <c r="I676" s="536"/>
      <c r="J676" s="529">
        <f ca="1">IFERROR(__xludf.DUMMYFUNCTION("IMPORTRANGE(""https://docs.google.com/spreadsheets/d/1XL5vhW3sbDhbH9Cz0tuDiY8C3ctxq1tqvaCgkFb8cCA/edit#gid=346597447"",""อุบลราชธานี!J571"")"),0)</f>
        <v>0</v>
      </c>
      <c r="K676" s="534"/>
      <c r="L676" s="520"/>
      <c r="M676" s="520"/>
      <c r="N676" s="520"/>
      <c r="O676" s="518"/>
      <c r="P676" s="568"/>
    </row>
    <row r="677" spans="1:16" ht="21.75" customHeight="1" x14ac:dyDescent="0.3">
      <c r="A677" s="538"/>
      <c r="B677" s="539" t="s">
        <v>259</v>
      </c>
      <c r="C677" s="540"/>
      <c r="D677" s="540"/>
      <c r="E677" s="540"/>
      <c r="F677" s="540"/>
      <c r="G677" s="541"/>
      <c r="H677" s="542" t="s">
        <v>122</v>
      </c>
      <c r="I677" s="543"/>
      <c r="J677" s="544">
        <f ca="1">IFERROR(__xludf.DUMMYFUNCTION("IMPORTRANGE(""https://docs.google.com/spreadsheets/d/1XL5vhW3sbDhbH9Cz0tuDiY8C3ctxq1tqvaCgkFb8cCA/edit#gid=346597447"",""อุบลราชธานี!J572"")"),0)</f>
        <v>0</v>
      </c>
      <c r="K677" s="545"/>
      <c r="L677" s="546"/>
      <c r="M677" s="546"/>
      <c r="N677" s="546"/>
      <c r="O677" s="545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3" sqref="G1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4.28515625" customWidth="1"/>
    <col min="8" max="8" width="10.85546875" customWidth="1"/>
    <col min="9" max="9" width="16.5703125" bestFit="1" customWidth="1"/>
    <col min="10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3" t="s">
        <v>15</v>
      </c>
      <c r="B7" s="648"/>
      <c r="C7" s="648"/>
      <c r="D7" s="648"/>
      <c r="E7" s="648"/>
      <c r="F7" s="648"/>
      <c r="G7" s="64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7040271</v>
      </c>
      <c r="M8" s="23">
        <f t="shared" ca="1" si="0"/>
        <v>3459284</v>
      </c>
      <c r="N8" s="23">
        <f t="shared" ca="1" si="0"/>
        <v>4063896.8899999992</v>
      </c>
      <c r="O8" s="22">
        <f t="shared" ref="O8:O16" ca="1" si="1">IF(L8&gt;0,N8*100/L8,0)</f>
        <v>57.723586066502264</v>
      </c>
      <c r="P8" s="22">
        <f t="shared" ref="P8:P16" ca="1" si="2">IF(M8&gt;0,N8*100/M8,0)</f>
        <v>117.47797781274967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7040271</v>
      </c>
      <c r="M10" s="30">
        <f t="shared" ca="1" si="4"/>
        <v>3459284</v>
      </c>
      <c r="N10" s="30">
        <f t="shared" ca="1" si="4"/>
        <v>4063896.8899999992</v>
      </c>
      <c r="O10" s="29">
        <f t="shared" ca="1" si="1"/>
        <v>57.723586066502264</v>
      </c>
      <c r="P10" s="29">
        <f t="shared" ca="1" si="2"/>
        <v>117.47797781274967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6790871</v>
      </c>
      <c r="M12" s="38">
        <f t="shared" ca="1" si="6"/>
        <v>3209884</v>
      </c>
      <c r="N12" s="38">
        <f t="shared" ca="1" si="6"/>
        <v>3814496.8899999992</v>
      </c>
      <c r="O12" s="38">
        <f t="shared" ca="1" si="1"/>
        <v>56.170952003064102</v>
      </c>
      <c r="P12" s="38">
        <f t="shared" ca="1" si="2"/>
        <v>118.83597320027762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4205371</v>
      </c>
      <c r="M14" s="38">
        <f t="shared" si="8"/>
        <v>0</v>
      </c>
      <c r="N14" s="38">
        <f t="shared" ca="1" si="8"/>
        <v>1070508.4799999991</v>
      </c>
      <c r="O14" s="38">
        <f t="shared" ca="1" si="1"/>
        <v>25.455744094872941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3" t="s">
        <v>24</v>
      </c>
      <c r="B17" s="648"/>
      <c r="C17" s="648"/>
      <c r="D17" s="648"/>
      <c r="E17" s="648"/>
      <c r="F17" s="648"/>
      <c r="G17" s="64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4308350</v>
      </c>
      <c r="M18" s="23">
        <f t="shared" ca="1" si="11"/>
        <v>3459284</v>
      </c>
      <c r="N18" s="23">
        <f t="shared" ca="1" si="11"/>
        <v>2993388.41</v>
      </c>
      <c r="O18" s="22">
        <f t="shared" ref="O18:O20" ca="1" si="12">IF(L18&gt;0,N18*100/L18,0)</f>
        <v>69.478765884851512</v>
      </c>
      <c r="P18" s="22">
        <f t="shared" ref="P18:P26" ca="1" si="13">IF(M18&gt;0,N18*100/M18,0)</f>
        <v>86.532022522579823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4308350</v>
      </c>
      <c r="M20" s="30">
        <f t="shared" ca="1" si="15"/>
        <v>3459284</v>
      </c>
      <c r="N20" s="30">
        <f t="shared" ca="1" si="15"/>
        <v>2993388.41</v>
      </c>
      <c r="O20" s="29">
        <f t="shared" ca="1" si="12"/>
        <v>69.478765884851512</v>
      </c>
      <c r="P20" s="29">
        <f t="shared" ca="1" si="13"/>
        <v>86.532022522579823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4058950</v>
      </c>
      <c r="M22" s="41">
        <f t="shared" ca="1" si="18"/>
        <v>3209884</v>
      </c>
      <c r="N22" s="38">
        <f t="shared" ca="1" si="18"/>
        <v>2743988.41</v>
      </c>
      <c r="O22" s="38">
        <f t="shared" ca="1" si="17"/>
        <v>67.6034050678131</v>
      </c>
      <c r="P22" s="38">
        <f t="shared" ca="1" si="13"/>
        <v>85.485594183465821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1473450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3" t="s">
        <v>25</v>
      </c>
      <c r="B27" s="648"/>
      <c r="C27" s="648"/>
      <c r="D27" s="648"/>
      <c r="E27" s="648"/>
      <c r="F27" s="648"/>
      <c r="G27" s="64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2731921</v>
      </c>
      <c r="M28" s="23">
        <f t="shared" si="23"/>
        <v>0</v>
      </c>
      <c r="N28" s="23">
        <f t="shared" ca="1" si="23"/>
        <v>1070508.4799999991</v>
      </c>
      <c r="O28" s="22">
        <f t="shared" ref="O28:O30" ca="1" si="24">IF(L28&gt;0,N28*100/L28,0)</f>
        <v>39.185191665498344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2731921</v>
      </c>
      <c r="M30" s="30">
        <f t="shared" si="27"/>
        <v>0</v>
      </c>
      <c r="N30" s="30">
        <f t="shared" ca="1" si="27"/>
        <v>1070508.4799999991</v>
      </c>
      <c r="O30" s="29">
        <f t="shared" ca="1" si="24"/>
        <v>39.185191665498344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2731921</v>
      </c>
      <c r="M32" s="38">
        <f t="shared" si="30"/>
        <v>0</v>
      </c>
      <c r="N32" s="38">
        <f t="shared" ca="1" si="30"/>
        <v>1070508.4799999991</v>
      </c>
      <c r="O32" s="38">
        <f t="shared" ca="1" si="29"/>
        <v>39.185191665498344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2731921</v>
      </c>
      <c r="M34" s="38">
        <f t="shared" si="32"/>
        <v>0</v>
      </c>
      <c r="N34" s="38">
        <f t="shared" ca="1" si="32"/>
        <v>1070508.4799999991</v>
      </c>
      <c r="O34" s="38">
        <f t="shared" ca="1" si="29"/>
        <v>39.185191665498344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4308350</v>
      </c>
      <c r="M37" s="54">
        <f t="shared" ca="1" si="33"/>
        <v>3459284</v>
      </c>
      <c r="N37" s="54">
        <f t="shared" ca="1" si="33"/>
        <v>2993388.41</v>
      </c>
      <c r="O37" s="55">
        <f t="shared" ca="1" si="29"/>
        <v>69.478765884851512</v>
      </c>
      <c r="P37" s="55">
        <f t="shared" ca="1" si="25"/>
        <v>86.532022522579823</v>
      </c>
    </row>
    <row r="38" spans="1:16" ht="21.75" customHeight="1" x14ac:dyDescent="0.3">
      <c r="A38" s="647" t="s">
        <v>27</v>
      </c>
      <c r="B38" s="648"/>
      <c r="C38" s="648"/>
      <c r="D38" s="648"/>
      <c r="E38" s="648"/>
      <c r="F38" s="648"/>
      <c r="G38" s="64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0" t="s">
        <v>28</v>
      </c>
      <c r="C39" s="641"/>
      <c r="D39" s="641"/>
      <c r="E39" s="641"/>
      <c r="F39" s="641"/>
      <c r="G39" s="64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666600</v>
      </c>
      <c r="N41" s="78">
        <f t="shared" ca="1" si="34"/>
        <v>588004.81000000006</v>
      </c>
      <c r="O41" s="77">
        <f t="shared" ref="O41:O43" ca="1" si="35">IF(L41&gt;0,N41*100/L41,0)</f>
        <v>66.157156840684081</v>
      </c>
      <c r="P41" s="77">
        <f t="shared" ref="P41:P43" ca="1" si="36">IF(M41&gt;0,N41*100/M41,0)</f>
        <v>88.209542454245437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666600</v>
      </c>
      <c r="N43" s="78">
        <f t="shared" ca="1" si="38"/>
        <v>588004.81000000006</v>
      </c>
      <c r="O43" s="77">
        <f t="shared" ca="1" si="35"/>
        <v>66.157156840684081</v>
      </c>
      <c r="P43" s="77">
        <f t="shared" ca="1" si="36"/>
        <v>88.209542454245437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IFERROR(__xludf.DUMMYFUNCTION("IMPORTRANGE(""https://docs.google.com/spreadsheets/d/1Yj_ptqi66GCucihVvJfMjLAmec39IyEx_6qawtMGysU/edit?usp=sharing"",""สบก!Q39"")"),666600)</f>
        <v>666600</v>
      </c>
      <c r="N45" s="49">
        <f ca="1">IFERROR(__xludf.DUMMYFUNCTION("IMPORTRANGE(""https://docs.google.com/spreadsheets/d/1Yj_ptqi66GCucihVvJfMjLAmec39IyEx_6qawtMGysU/edit?usp=sharing"",""สบก!R39"")"),588004.81)</f>
        <v>588004.81000000006</v>
      </c>
      <c r="O45" s="38">
        <f ca="1">IF(L45&gt;0,N45*100/L45,0)</f>
        <v>66.157156840684081</v>
      </c>
      <c r="P45" s="38">
        <f ca="1">IF(M45&gt;0,N45*100/M45,0)</f>
        <v>88.209542454245437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726000</v>
      </c>
      <c r="M53" s="121">
        <f t="shared" ca="1" si="39"/>
        <v>563904</v>
      </c>
      <c r="N53" s="121">
        <f t="shared" ca="1" si="39"/>
        <v>530156</v>
      </c>
      <c r="O53" s="120">
        <f t="shared" ref="O53:O55" ca="1" si="40">IF(L53&gt;0,N53*100/L53,0)</f>
        <v>73.024242424242431</v>
      </c>
      <c r="P53" s="120">
        <f t="shared" ref="P53:P55" ca="1" si="41">IF(M53&gt;0,N53*100/M53,0)</f>
        <v>94.015293383270915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726000</v>
      </c>
      <c r="M55" s="121">
        <f t="shared" ca="1" si="43"/>
        <v>563904</v>
      </c>
      <c r="N55" s="121">
        <f t="shared" ca="1" si="43"/>
        <v>530156</v>
      </c>
      <c r="O55" s="120">
        <f t="shared" ca="1" si="40"/>
        <v>73.024242424242431</v>
      </c>
      <c r="P55" s="120">
        <f t="shared" ca="1" si="41"/>
        <v>94.015293383270915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726000</v>
      </c>
      <c r="M57" s="49">
        <f ca="1">IFERROR(__xludf.DUMMYFUNCTION("IMPORTRANGE(""https://docs.google.com/spreadsheets/d/1Yj_ptqi66GCucihVvJfMjLAmec39IyEx_6qawtMGysU/edit?usp=sharing"",""สบก!Z39"")"),563904)</f>
        <v>563904</v>
      </c>
      <c r="N57" s="49">
        <f ca="1">IFERROR(__xludf.DUMMYFUNCTION("IMPORTRANGE(""https://docs.google.com/spreadsheets/d/1Yj_ptqi66GCucihVvJfMjLAmec39IyEx_6qawtMGysU/edit?usp=sharing"",""สบก!AA39"")"),530156)</f>
        <v>530156</v>
      </c>
      <c r="O57" s="38">
        <f ca="1">IF(L57&gt;0,N57*100/L57,0)</f>
        <v>73.024242424242431</v>
      </c>
      <c r="P57" s="38">
        <f ca="1">IF(M57&gt;0,N57*100/M57,0)</f>
        <v>94.015293383270915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IFERROR(__xludf.DUMMYFUNCTION("IMPORTRANGE(""https://docs.google.com/spreadsheets/d/1Yj_ptqi66GCucihVvJfMjLAmec39IyEx_6qawtMGysU/edit?usp=sharing"",""สบก!V39"")"),726000)</f>
        <v>726000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1052300</v>
      </c>
      <c r="M66" s="152">
        <f t="shared" ca="1" si="45"/>
        <v>872320</v>
      </c>
      <c r="N66" s="152">
        <f t="shared" ca="1" si="45"/>
        <v>806903.23</v>
      </c>
      <c r="O66" s="151">
        <f t="shared" ref="O66:O68" ca="1" si="46">IF(L66&gt;0,N66*100/L66,0)</f>
        <v>76.679961037726883</v>
      </c>
      <c r="P66" s="151">
        <f t="shared" ref="P66:P68" ca="1" si="47">IF(M66&gt;0,N66*100/M66,0)</f>
        <v>92.500828824284667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1052300</v>
      </c>
      <c r="M68" s="157">
        <f t="shared" ca="1" si="49"/>
        <v>872320</v>
      </c>
      <c r="N68" s="157">
        <f t="shared" ca="1" si="49"/>
        <v>806903.23</v>
      </c>
      <c r="O68" s="156">
        <f t="shared" ca="1" si="46"/>
        <v>76.679961037726883</v>
      </c>
      <c r="P68" s="156">
        <f t="shared" ca="1" si="47"/>
        <v>92.500828824284667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912300</v>
      </c>
      <c r="M70" s="168">
        <f ca="1">IFERROR(__xludf.DUMMYFUNCTION("IMPORTRANGE(""https://docs.google.com/spreadsheets/d/1Yj_ptqi66GCucihVvJfMjLAmec39IyEx_6qawtMGysU/edit?usp=sharing"",""สบก!AI39"")"),732320)</f>
        <v>732320</v>
      </c>
      <c r="N70" s="169">
        <f ca="1">IFERROR(__xludf.DUMMYFUNCTION("IMPORTRANGE(""https://docs.google.com/spreadsheets/d/1Yj_ptqi66GCucihVvJfMjLAmec39IyEx_6qawtMGysU/edit?usp=sharing"",""สบก!AJ39"")"),666903.23)</f>
        <v>666903.23</v>
      </c>
      <c r="O70" s="169">
        <f ca="1">IF(L70&gt;0,N70*100/L70,0)</f>
        <v>73.101307683875916</v>
      </c>
      <c r="P70" s="169">
        <f ca="1">IF(M70&gt;0,N70*100/M70,0)</f>
        <v>91.067187841380814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IFERROR(__xludf.DUMMYFUNCTION("IMPORTRANGE(""https://docs.google.com/spreadsheets/d/1Yj_ptqi66GCucihVvJfMjLAmec39IyEx_6qawtMGysU/edit?usp=sharing"",""สบก!AF39"")"),442000)</f>
        <v>442000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IFERROR(__xludf.DUMMYFUNCTION("IMPORTRANGE(""https://docs.google.com/spreadsheets/d/1XL5vhW3sbDhbH9Cz0tuDiY8C3ctxq1tqvaCgkFb8cCA/edit?usp=sharing"",""ขอนแก่น!I28"")"),30)</f>
        <v>30</v>
      </c>
      <c r="J88" s="204">
        <f ca="1">IFERROR(__xludf.DUMMYFUNCTION("IMPORTRANGE(""https://docs.google.com/spreadsheets/d/1XL5vhW3sbDhbH9Cz0tuDiY8C3ctxq1tqvaCgkFb8cCA/edit?usp=sharing"",""ขอนแก่น!J28"")"),30)</f>
        <v>30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IFERROR(__xludf.DUMMYFUNCTION("IMPORTRANGE(""https://docs.google.com/spreadsheets/d/1XL5vhW3sbDhbH9Cz0tuDiY8C3ctxq1tqvaCgkFb8cCA/edit?usp=sharing"",""ขอนแก่น!J30"")"),0)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122670</v>
      </c>
      <c r="O94" s="151">
        <f t="shared" ref="O94:O96" ca="1" si="53">IF(L94&gt;0,N94*100/L94,0)</f>
        <v>57.188811188811187</v>
      </c>
      <c r="P94" s="151">
        <f t="shared" ref="P94:P96" ca="1" si="54">IF(M94&gt;0,N94*100/M94,0)</f>
        <v>63.084004011210823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122670</v>
      </c>
      <c r="O96" s="156">
        <f t="shared" ca="1" si="53"/>
        <v>57.188811188811187</v>
      </c>
      <c r="P96" s="156">
        <f t="shared" ca="1" si="54"/>
        <v>63.084004011210823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IFERROR(__xludf.DUMMYFUNCTION("IMPORTRANGE(""https://docs.google.com/spreadsheets/d/1Yj_ptqi66GCucihVvJfMjLAmec39IyEx_6qawtMGysU/edit?usp=sharing"",""สบก!AR39"")"),102055)</f>
        <v>102055</v>
      </c>
      <c r="N98" s="169">
        <f ca="1">IFERROR(__xludf.DUMMYFUNCTION("IMPORTRANGE(""https://docs.google.com/spreadsheets/d/1Yj_ptqi66GCucihVvJfMjLAmec39IyEx_6qawtMGysU/edit?usp=sharing"",""สบก!AS39"")"),30270)</f>
        <v>30270</v>
      </c>
      <c r="O98" s="169">
        <f ca="1">IF(L98&gt;0,N98*100/L98,0)</f>
        <v>24.791154791154792</v>
      </c>
      <c r="P98" s="169">
        <f ca="1">IF(M98&gt;0,N98*100/M98,0)</f>
        <v>29.660477193670079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IFERROR(__xludf.DUMMYFUNCTION("IMPORTRANGE(""https://docs.google.com/spreadsheets/d/1XL5vhW3sbDhbH9Cz0tuDiY8C3ctxq1tqvaCgkFb8cCA/edit?usp=sharing"",""ขอนแก่น!J50"")"),0)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IFERROR(__xludf.DUMMYFUNCTION("IMPORTRANGE(""https://docs.google.com/spreadsheets/d/1Yj_ptqi66GCucihVvJfMjLAmec39IyEx_6qawtMGysU/edit?usp=sharing"",""สบก!BA39"")"),0)</f>
        <v>0</v>
      </c>
      <c r="N122" s="169">
        <f ca="1">IFERROR(__xludf.DUMMYFUNCTION("IMPORTRANGE(""https://docs.google.com/spreadsheets/d/1Yj_ptqi66GCucihVvJfMjLAmec39IyEx_6qawtMGysU/edit?usp=sharing"",""สบก!BB39"")"),0)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IFERROR(__xludf.DUMMYFUNCTION("IMPORTRANGE(""https://docs.google.com/spreadsheets/d/1Yj_ptqi66GCucihVvJfMjLAmec39IyEx_6qawtMGysU/edit?usp=sharing"",""สบก!AX39"")"),0)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IFERROR(__xludf.DUMMYFUNCTION("IMPORTRANGE(""https://docs.google.com/spreadsheets/d/1XL5vhW3sbDhbH9Cz0tuDiY8C3ctxq1tqvaCgkFb8cCA/edit?usp=sharing"",""ขอนแก่น!J65"")"),0)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IFERROR(__xludf.DUMMYFUNCTION("IMPORTRANGE(""https://docs.google.com/spreadsheets/d/1XL5vhW3sbDhbH9Cz0tuDiY8C3ctxq1tqvaCgkFb8cCA/edit?usp=sharing"",""ขอนแก่น!I68"")"),0)</f>
        <v>0</v>
      </c>
      <c r="J138" s="267">
        <f ca="1">IFERROR(__xludf.DUMMYFUNCTION("IMPORTRANGE(""https://docs.google.com/spreadsheets/d/1XL5vhW3sbDhbH9Cz0tuDiY8C3ctxq1tqvaCgkFb8cCA/edit?usp=sharing"",""ขอนแก่น!J68"")"),0)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55625</v>
      </c>
      <c r="N140" s="152">
        <f t="shared" ca="1" si="64"/>
        <v>48581.5</v>
      </c>
      <c r="O140" s="151">
        <f t="shared" ref="O140:O142" ca="1" si="65">IF(L140&gt;0,N140*100/L140,0)</f>
        <v>70.407971014492759</v>
      </c>
      <c r="P140" s="151">
        <f t="shared" ref="P140:P142" ca="1" si="66">IF(M140&gt;0,N140*100/M140,0)</f>
        <v>87.337528089887641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69000</v>
      </c>
      <c r="M142" s="157">
        <f t="shared" ca="1" si="68"/>
        <v>55625</v>
      </c>
      <c r="N142" s="157">
        <f t="shared" ca="1" si="68"/>
        <v>48581.5</v>
      </c>
      <c r="O142" s="156">
        <f t="shared" ca="1" si="65"/>
        <v>70.407971014492759</v>
      </c>
      <c r="P142" s="156">
        <f t="shared" ca="1" si="66"/>
        <v>87.337528089887641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69000</v>
      </c>
      <c r="M144" s="168">
        <f ca="1">IFERROR(__xludf.DUMMYFUNCTION("IMPORTRANGE(""https://docs.google.com/spreadsheets/d/1Yj_ptqi66GCucihVvJfMjLAmec39IyEx_6qawtMGysU/edit?usp=sharing"",""สบก!BJ39"")"),55625)</f>
        <v>55625</v>
      </c>
      <c r="N144" s="169">
        <f ca="1">IFERROR(__xludf.DUMMYFUNCTION("IMPORTRANGE(""https://docs.google.com/spreadsheets/d/1Yj_ptqi66GCucihVvJfMjLAmec39IyEx_6qawtMGysU/edit?usp=sharing"",""สบก!BK39"")"),48581.5)</f>
        <v>48581.5</v>
      </c>
      <c r="O144" s="169">
        <f ca="1">IF(L144&gt;0,N144*100/L144,0)</f>
        <v>70.407971014492759</v>
      </c>
      <c r="P144" s="169">
        <f ca="1">IF(M144&gt;0,N144*100/M144,0)</f>
        <v>87.337528089887641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IFERROR(__xludf.DUMMYFUNCTION("IMPORTRANGE(""https://docs.google.com/spreadsheets/d/1Yj_ptqi66GCucihVvJfMjLAmec39IyEx_6qawtMGysU/edit?usp=sharing"",""สบก!BG39"")"),69000)</f>
        <v>69000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IFERROR(__xludf.DUMMYFUNCTION("IMPORTRANGE(""https://docs.google.com/spreadsheets/d/1XL5vhW3sbDhbH9Cz0tuDiY8C3ctxq1tqvaCgkFb8cCA/edit?usp=sharing"",""ขอนแก่น!I74"")"),4)</f>
        <v>4</v>
      </c>
      <c r="J149" s="275">
        <f ca="1">IFERROR(__xludf.DUMMYFUNCTION("IMPORTRANGE(""https://docs.google.com/spreadsheets/d/1XL5vhW3sbDhbH9Cz0tuDiY8C3ctxq1tqvaCgkFb8cCA/edit?usp=sharing"",""ขอนแก่น!J74"")"),1)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IFERROR(__xludf.DUMMYFUNCTION("IMPORTRANGE(""https://docs.google.com/spreadsheets/d/1XL5vhW3sbDhbH9Cz0tuDiY8C3ctxq1tqvaCgkFb8cCA/edit?usp=sharing"",""ขอนแก่น!J88"")"),0)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IFERROR(__xludf.DUMMYFUNCTION("IMPORTRANGE(""https://docs.google.com/spreadsheets/d/1XL5vhW3sbDhbH9Cz0tuDiY8C3ctxq1tqvaCgkFb8cCA/edit?usp=sharing"",""ขอนแก่น!I89"")"),3)</f>
        <v>3</v>
      </c>
      <c r="J164" s="284">
        <f ca="1">IFERROR(__xludf.DUMMYFUNCTION("IMPORTRANGE(""https://docs.google.com/spreadsheets/d/1XL5vhW3sbDhbH9Cz0tuDiY8C3ctxq1tqvaCgkFb8cCA/edit?usp=sharing"",""ขอนแก่น!J89"")"),3)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IFERROR(__xludf.DUMMYFUNCTION("IMPORTRANGE(""https://docs.google.com/spreadsheets/d/1XL5vhW3sbDhbH9Cz0tuDiY8C3ctxq1tqvaCgkFb8cCA/edit?usp=sharing"",""ขอนแก่น!J100"")"),0)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IFERROR(__xludf.DUMMYFUNCTION("IMPORTRANGE(""https://docs.google.com/spreadsheets/d/1XL5vhW3sbDhbH9Cz0tuDiY8C3ctxq1tqvaCgkFb8cCA/edit?usp=sharing"",""ขอนแก่น!I101"")"),0)</f>
        <v>0</v>
      </c>
      <c r="J176" s="284">
        <f ca="1">IFERROR(__xludf.DUMMYFUNCTION("IMPORTRANGE(""https://docs.google.com/spreadsheets/d/1XL5vhW3sbDhbH9Cz0tuDiY8C3ctxq1tqvaCgkFb8cCA/edit?usp=sharing"",""ขอนแก่น!J101"")"),0)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IFERROR(__xludf.DUMMYFUNCTION("IMPORTRANGE(""https://docs.google.com/spreadsheets/d/1XL5vhW3sbDhbH9Cz0tuDiY8C3ctxq1tqvaCgkFb8cCA/edit?usp=sharing"",""ขอนแก่น!J113"")"),0)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IFERROR(__xludf.DUMMYFUNCTION("IMPORTRANGE(""https://docs.google.com/spreadsheets/d/1XL5vhW3sbDhbH9Cz0tuDiY8C3ctxq1tqvaCgkFb8cCA/edit?usp=sharing"",""ขอนแก่น!I114"")"),50000)</f>
        <v>50000</v>
      </c>
      <c r="J189" s="284">
        <f ca="1">IFERROR(__xludf.DUMMYFUNCTION("IMPORTRANGE(""https://docs.google.com/spreadsheets/d/1XL5vhW3sbDhbH9Cz0tuDiY8C3ctxq1tqvaCgkFb8cCA/edit?usp=sharing"",""ขอนแก่น!J114"")"),0)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IFERROR(__xludf.DUMMYFUNCTION("IMPORTRANGE(""https://docs.google.com/spreadsheets/d/1XL5vhW3sbDhbH9Cz0tuDiY8C3ctxq1tqvaCgkFb8cCA/edit?usp=sharing"",""ขอนแก่น!J128"")"),0)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IFERROR(__xludf.DUMMYFUNCTION("IMPORTRANGE(""https://docs.google.com/spreadsheets/d/1XL5vhW3sbDhbH9Cz0tuDiY8C3ctxq1tqvaCgkFb8cCA/edit?usp=sharing"",""ขอนแก่น!I129"")"),0)</f>
        <v>0</v>
      </c>
      <c r="J204" s="284">
        <f ca="1">IFERROR(__xludf.DUMMYFUNCTION("IMPORTRANGE(""https://docs.google.com/spreadsheets/d/1XL5vhW3sbDhbH9Cz0tuDiY8C3ctxq1tqvaCgkFb8cCA/edit?usp=sharing"",""ขอนแก่น!J129"")"),0)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IFERROR(__xludf.DUMMYFUNCTION("IMPORTRANGE(""https://docs.google.com/spreadsheets/d/1XL5vhW3sbDhbH9Cz0tuDiY8C3ctxq1tqvaCgkFb8cCA/edit?usp=sharing"",""ขอนแก่น!J143"")"),0)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IFERROR(__xludf.DUMMYFUNCTION("IMPORTRANGE(""https://docs.google.com/spreadsheets/d/1XL5vhW3sbDhbH9Cz0tuDiY8C3ctxq1tqvaCgkFb8cCA/edit?usp=sharing"",""ขอนแก่น!I144"")"),10)</f>
        <v>10</v>
      </c>
      <c r="J219" s="267">
        <f ca="1">IFERROR(__xludf.DUMMYFUNCTION("IMPORTRANGE(""https://docs.google.com/spreadsheets/d/1XL5vhW3sbDhbH9Cz0tuDiY8C3ctxq1tqvaCgkFb8cCA/edit?usp=sharing"",""ขอนแก่น!J144"")"),10)</f>
        <v>10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IFERROR(__xludf.DUMMYFUNCTION("IMPORTRANGE(""https://docs.google.com/spreadsheets/d/1XL5vhW3sbDhbH9Cz0tuDiY8C3ctxq1tqvaCgkFb8cCA/edit?usp=sharing"",""ขอนแก่น!I149"")"),10)</f>
        <v>10</v>
      </c>
      <c r="J229" s="267">
        <f ca="1">IFERROR(__xludf.DUMMYFUNCTION("IMPORTRANGE(""https://docs.google.com/spreadsheets/d/1XL5vhW3sbDhbH9Cz0tuDiY8C3ctxq1tqvaCgkFb8cCA/edit?usp=sharing"",""ขอนแก่น!J149"")"),10)</f>
        <v>10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IFERROR(__xludf.DUMMYFUNCTION("IMPORTRANGE(""https://docs.google.com/spreadsheets/d/1XL5vhW3sbDhbH9Cz0tuDiY8C3ctxq1tqvaCgkFb8cCA/edit?usp=sharing"",""ขอนแก่น!J157"")"),1)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IFERROR(__xludf.DUMMYFUNCTION("IMPORTRANGE(""https://docs.google.com/spreadsheets/d/1XL5vhW3sbDhbH9Cz0tuDiY8C3ctxq1tqvaCgkFb8cCA/edit?usp=sharing"",""ขอนแก่น!I158"")"),0)</f>
        <v>0</v>
      </c>
      <c r="J238" s="267">
        <f ca="1">IFERROR(__xludf.DUMMYFUNCTION("IMPORTRANGE(""https://docs.google.com/spreadsheets/d/1XL5vhW3sbDhbH9Cz0tuDiY8C3ctxq1tqvaCgkFb8cCA/edit?usp=sharing"",""ขอนแก่น!J158"")"),0)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IFERROR(__xludf.DUMMYFUNCTION("IMPORTRANGE(""https://docs.google.com/spreadsheets/d/1XL5vhW3sbDhbH9Cz0tuDiY8C3ctxq1tqvaCgkFb8cCA/edit?usp=sharing"",""ขอนแก่น!J166"")"),0)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IFERROR(__xludf.DUMMYFUNCTION("IMPORTRANGE(""https://docs.google.com/spreadsheets/d/1XL5vhW3sbDhbH9Cz0tuDiY8C3ctxq1tqvaCgkFb8cCA/edit?usp=sharing"",""ขอนแก่น!I169"")"),0)</f>
        <v>0</v>
      </c>
      <c r="J249" s="316">
        <f ca="1">IFERROR(__xludf.DUMMYFUNCTION("IMPORTRANGE(""https://docs.google.com/spreadsheets/d/1XL5vhW3sbDhbH9Cz0tuDiY8C3ctxq1tqvaCgkFb8cCA/edit?usp=sharing"",""ขอนแก่น!J169"")"),0)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IFERROR(__xludf.DUMMYFUNCTION("IMPORTRANGE(""https://docs.google.com/spreadsheets/d/1XL5vhW3sbDhbH9Cz0tuDiY8C3ctxq1tqvaCgkFb8cCA/edit?usp=sharing"",""ขอนแก่น!J184"")"),0)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IFERROR(__xludf.DUMMYFUNCTION("IMPORTRANGE(""https://docs.google.com/spreadsheets/d/1XL5vhW3sbDhbH9Cz0tuDiY8C3ctxq1tqvaCgkFb8cCA/edit?usp=sharing"",""ขอนแก่น!I185"")"),15)</f>
        <v>15</v>
      </c>
      <c r="J270" s="316">
        <f ca="1">IFERROR(__xludf.DUMMYFUNCTION("IMPORTRANGE(""https://docs.google.com/spreadsheets/d/1XL5vhW3sbDhbH9Cz0tuDiY8C3ctxq1tqvaCgkFb8cCA/edit?usp=sharing"",""ขอนแก่น!J185"")"),15)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29120</v>
      </c>
      <c r="O271" s="151">
        <f t="shared" ref="O271:O273" ca="1" si="84">IF(L271&gt;0,N271*100/L271,0)</f>
        <v>52.753623188405797</v>
      </c>
      <c r="P271" s="151">
        <f t="shared" ref="P271:P273" ca="1" si="85">IF(M271&gt;0,N271*100/M271,0)</f>
        <v>90.294573643410857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29120</v>
      </c>
      <c r="O273" s="156">
        <f t="shared" ca="1" si="84"/>
        <v>52.753623188405797</v>
      </c>
      <c r="P273" s="156">
        <f t="shared" ca="1" si="85"/>
        <v>90.294573643410857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IFERROR(__xludf.DUMMYFUNCTION("IMPORTRANGE(""https://docs.google.com/spreadsheets/d/1Yj_ptqi66GCucihVvJfMjLAmec39IyEx_6qawtMGysU/edit?usp=sharing"",""สบก!CK39"")"),32250)</f>
        <v>32250</v>
      </c>
      <c r="N275" s="169">
        <f ca="1">IFERROR(__xludf.DUMMYFUNCTION("IMPORTRANGE(""https://docs.google.com/spreadsheets/d/1Yj_ptqi66GCucihVvJfMjLAmec39IyEx_6qawtMGysU/edit?usp=sharing"",""สบก!CL39"")"),29120)</f>
        <v>29120</v>
      </c>
      <c r="O275" s="169">
        <f ca="1">IF(L275&gt;0,N275*100/L275,0)</f>
        <v>52.753623188405797</v>
      </c>
      <c r="P275" s="169">
        <f ca="1">IF(M275&gt;0,N275*100/M275,0)</f>
        <v>90.294573643410857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IFERROR(__xludf.DUMMYFUNCTION("IMPORTRANGE(""https://docs.google.com/spreadsheets/d/1XL5vhW3sbDhbH9Cz0tuDiY8C3ctxq1tqvaCgkFb8cCA/edit?usp=sharing"",""ขอนแก่น!J197"")"),0)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IFERROR(__xludf.DUMMYFUNCTION("IMPORTRANGE(""https://docs.google.com/spreadsheets/d/1XL5vhW3sbDhbH9Cz0tuDiY8C3ctxq1tqvaCgkFb8cCA/edit?usp=sharing"",""ขอนแก่น!I199"")"),0)</f>
        <v>0</v>
      </c>
      <c r="J289" s="316">
        <f ca="1">IFERROR(__xludf.DUMMYFUNCTION("IMPORTRANGE(""https://docs.google.com/spreadsheets/d/1XL5vhW3sbDhbH9Cz0tuDiY8C3ctxq1tqvaCgkFb8cCA/edit?usp=sharing"",""ขอนแก่น!J199"")"),0)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IFERROR(__xludf.DUMMYFUNCTION("IMPORTRANGE(""https://docs.google.com/spreadsheets/d/1XL5vhW3sbDhbH9Cz0tuDiY8C3ctxq1tqvaCgkFb8cCA/edit?usp=sharing"",""ขอนแก่น!J213"")"),0)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IFERROR(__xludf.DUMMYFUNCTION("IMPORTRANGE(""https://docs.google.com/spreadsheets/d/1XL5vhW3sbDhbH9Cz0tuDiY8C3ctxq1tqvaCgkFb8cCA/edit?usp=sharing"",""ขอนแก่น!I214"")"),0)</f>
        <v>0</v>
      </c>
      <c r="J309" s="333">
        <f ca="1">IFERROR(__xludf.DUMMYFUNCTION("IMPORTRANGE(""https://docs.google.com/spreadsheets/d/1XL5vhW3sbDhbH9Cz0tuDiY8C3ctxq1tqvaCgkFb8cCA/edit?usp=sharing"",""ขอนแก่น!J214"")"),0)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IFERROR(__xludf.DUMMYFUNCTION("IMPORTRANGE(""https://docs.google.com/spreadsheets/d/1XL5vhW3sbDhbH9Cz0tuDiY8C3ctxq1tqvaCgkFb8cCA/edit?usp=sharing"",""ขอนแก่น!J226"")"),0)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IFERROR(__xludf.DUMMYFUNCTION("IMPORTRANGE(""https://docs.google.com/spreadsheets/d/1XL5vhW3sbDhbH9Cz0tuDiY8C3ctxq1tqvaCgkFb8cCA/edit?usp=sharing"",""ขอนแก่น!I228"")"),800)</f>
        <v>800</v>
      </c>
      <c r="J328" s="339">
        <f ca="1">IFERROR(__xludf.DUMMYFUNCTION("IMPORTRANGE(""https://docs.google.com/spreadsheets/d/1XL5vhW3sbDhbH9Cz0tuDiY8C3ctxq1tqvaCgkFb8cCA/edit?usp=sharing"",""ขอนแก่น!J228"")"),505)</f>
        <v>505</v>
      </c>
      <c r="K328" s="317">
        <f ca="1">IF(I328&gt;0,J328*100/I328,0)</f>
        <v>63.125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1286000</v>
      </c>
      <c r="M329" s="152">
        <f t="shared" ca="1" si="98"/>
        <v>1057580</v>
      </c>
      <c r="N329" s="152">
        <f t="shared" ca="1" si="98"/>
        <v>851402.87</v>
      </c>
      <c r="O329" s="151">
        <f t="shared" ref="O329:O331" ca="1" si="99">IF(L329&gt;0,N329*100/L329,0)</f>
        <v>66.205510886469668</v>
      </c>
      <c r="P329" s="151">
        <f t="shared" ref="P329:P331" ca="1" si="100">IF(M329&gt;0,N329*100/M329,0)</f>
        <v>80.504819493560774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1286000</v>
      </c>
      <c r="M331" s="157">
        <f t="shared" ca="1" si="102"/>
        <v>1057580</v>
      </c>
      <c r="N331" s="157">
        <f t="shared" ca="1" si="102"/>
        <v>851402.87</v>
      </c>
      <c r="O331" s="156">
        <f t="shared" ca="1" si="99"/>
        <v>66.205510886469668</v>
      </c>
      <c r="P331" s="156">
        <f t="shared" ca="1" si="100"/>
        <v>80.504819493560774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1269000</v>
      </c>
      <c r="M333" s="168">
        <f ca="1">IFERROR(__xludf.DUMMYFUNCTION("IMPORTRANGE(""https://docs.google.com/spreadsheets/d/1Yj_ptqi66GCucihVvJfMjLAmec39IyEx_6qawtMGysU/edit?usp=sharing"",""สบก!DL39"")"),1040580)</f>
        <v>1040580</v>
      </c>
      <c r="N333" s="169">
        <f ca="1">IFERROR(__xludf.DUMMYFUNCTION("IMPORTRANGE(""https://docs.google.com/spreadsheets/d/1Yj_ptqi66GCucihVvJfMjLAmec39IyEx_6qawtMGysU/edit?usp=sharing"",""สบก!DM39"")"),834402.87)</f>
        <v>834402.87</v>
      </c>
      <c r="O333" s="169">
        <f ca="1">IF(L333&gt;0,N333*100/L333,0)</f>
        <v>65.752787234042557</v>
      </c>
      <c r="P333" s="169">
        <f ca="1">IF(M333&gt;0,N333*100/M333,0)</f>
        <v>80.186325895173852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IFERROR(__xludf.DUMMYFUNCTION("IMPORTRANGE(""https://docs.google.com/spreadsheets/d/1Yj_ptqi66GCucihVvJfMjLAmec39IyEx_6qawtMGysU/edit?usp=sharing"",""สบก!DI39"")"),768600)</f>
        <v>768600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IFERROR(__xludf.DUMMYFUNCTION("IMPORTRANGE(""https://docs.google.com/spreadsheets/d/1XL5vhW3sbDhbH9Cz0tuDiY8C3ctxq1tqvaCgkFb8cCA/edit?usp=sharing"",""ขอนแก่น!J234"")"),259)</f>
        <v>259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IFERROR(__xludf.DUMMYFUNCTION("IMPORTRANGE(""https://docs.google.com/spreadsheets/d/1XL5vhW3sbDhbH9Cz0tuDiY8C3ctxq1tqvaCgkFb8cCA/edit?usp=sharing"",""ขอนแก่น!I235"")"),4500)</f>
        <v>4500</v>
      </c>
      <c r="J340" s="188">
        <f ca="1">IFERROR(__xludf.DUMMYFUNCTION("IMPORTRANGE(""https://docs.google.com/spreadsheets/d/1XL5vhW3sbDhbH9Cz0tuDiY8C3ctxq1tqvaCgkFb8cCA/edit?usp=sharing"",""ขอนแก่น!J235"")"),2243.93)</f>
        <v>2243.9299999999998</v>
      </c>
      <c r="K340" s="342">
        <f t="shared" ca="1" si="103"/>
        <v>49.865111111111105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IFERROR(__xludf.DUMMYFUNCTION("IMPORTRANGE(""https://docs.google.com/spreadsheets/d/1XL5vhW3sbDhbH9Cz0tuDiY8C3ctxq1tqvaCgkFb8cCA/edit?usp=sharing"",""ขอนแก่น!I236"")"),800)</f>
        <v>800</v>
      </c>
      <c r="J341" s="188">
        <f ca="1">IFERROR(__xludf.DUMMYFUNCTION("IMPORTRANGE(""https://docs.google.com/spreadsheets/d/1XL5vhW3sbDhbH9Cz0tuDiY8C3ctxq1tqvaCgkFb8cCA/edit?usp=sharing"",""ขอนแก่น!J236"")"),579)</f>
        <v>579</v>
      </c>
      <c r="K341" s="342">
        <f t="shared" ca="1" si="103"/>
        <v>72.375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IFERROR(__xludf.DUMMYFUNCTION("IMPORTRANGE(""https://docs.google.com/spreadsheets/d/1XL5vhW3sbDhbH9Cz0tuDiY8C3ctxq1tqvaCgkFb8cCA/edit?usp=sharing"",""ขอนแก่น!J237"")"),6413.69)</f>
        <v>6413.69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IFERROR(__xludf.DUMMYFUNCTION("IMPORTRANGE(""https://docs.google.com/spreadsheets/d/1XL5vhW3sbDhbH9Cz0tuDiY8C3ctxq1tqvaCgkFb8cCA/edit?usp=sharing"",""ขอนแก่น!I238"")"),800)</f>
        <v>800</v>
      </c>
      <c r="J343" s="188">
        <f ca="1">IFERROR(__xludf.DUMMYFUNCTION("IMPORTRANGE(""https://docs.google.com/spreadsheets/d/1XL5vhW3sbDhbH9Cz0tuDiY8C3ctxq1tqvaCgkFb8cCA/edit?usp=sharing"",""ขอนแก่น!J238"")"),78)</f>
        <v>78</v>
      </c>
      <c r="K343" s="342">
        <f t="shared" ca="1" si="103"/>
        <v>9.75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IFERROR(__xludf.DUMMYFUNCTION("IMPORTRANGE(""https://docs.google.com/spreadsheets/d/1XL5vhW3sbDhbH9Cz0tuDiY8C3ctxq1tqvaCgkFb8cCA/edit?usp=sharing"",""ขอนแก่น!J239"")"),864.62)</f>
        <v>864.62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IFERROR(__xludf.DUMMYFUNCTION("IMPORTRANGE(""https://docs.google.com/spreadsheets/d/1XL5vhW3sbDhbH9Cz0tuDiY8C3ctxq1tqvaCgkFb8cCA/edit?usp=sharing"",""ขอนแก่น!I240"")"),800)</f>
        <v>800</v>
      </c>
      <c r="J345" s="188">
        <f ca="1">IFERROR(__xludf.DUMMYFUNCTION("IMPORTRANGE(""https://docs.google.com/spreadsheets/d/1XL5vhW3sbDhbH9Cz0tuDiY8C3ctxq1tqvaCgkFb8cCA/edit?usp=sharing"",""ขอนแก่น!J240"")"),505)</f>
        <v>505</v>
      </c>
      <c r="K345" s="342">
        <f t="shared" ca="1" si="103"/>
        <v>63.125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IFERROR(__xludf.DUMMYFUNCTION("IMPORTRANGE(""https://docs.google.com/spreadsheets/d/1XL5vhW3sbDhbH9Cz0tuDiY8C3ctxq1tqvaCgkFb8cCA/edit?usp=sharing"",""ขอนแก่น!J241"")"),5613.69)</f>
        <v>5613.69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IFERROR(__xludf.DUMMYFUNCTION("IMPORTRANGE(""https://docs.google.com/spreadsheets/d/1XL5vhW3sbDhbH9Cz0tuDiY8C3ctxq1tqvaCgkFb8cCA/edit?usp=sharing"",""ขอนแก่น!L242"")"),2731921)</f>
        <v>2731921</v>
      </c>
      <c r="M347" s="358"/>
      <c r="N347" s="358">
        <f ca="1">IFERROR(__xludf.DUMMYFUNCTION("IMPORTRANGE(""https://docs.google.com/spreadsheets/d/1XL5vhW3sbDhbH9Cz0tuDiY8C3ctxq1tqvaCgkFb8cCA/edit?usp=sharing"",""ขอนแก่น!M242"")"),1070508.48)</f>
        <v>1070508.48</v>
      </c>
      <c r="O347" s="358">
        <f ca="1">+IF(L347&gt;0,N347*100/L347,0)</f>
        <v>39.18519166549838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IFERROR(__xludf.DUMMYFUNCTION("IMPORTRANGE(""https://docs.google.com/spreadsheets/d/1XL5vhW3sbDhbH9Cz0tuDiY8C3ctxq1tqvaCgkFb8cCA/edit?usp=sharing"",""ขอนแก่น!M244"")"),182978.5)</f>
        <v>182978.5</v>
      </c>
      <c r="O349" s="373">
        <f ca="1">+IF(L349&gt;0,N349*100/L349,0)</f>
        <v>52.349869825193835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IFERROR(__xludf.DUMMYFUNCTION("IMPORTRANGE(""https://docs.google.com/spreadsheets/d/1XL5vhW3sbDhbH9Cz0tuDiY8C3ctxq1tqvaCgkFb8cCA/edit?usp=sharing"",""ขอนแก่น!M247"")"),182978.5)</f>
        <v>182978.5</v>
      </c>
      <c r="O352" s="165">
        <f t="shared" ca="1" si="105"/>
        <v>52.349869825193835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IFERROR(__xludf.DUMMYFUNCTION("IMPORTRANGE(""https://docs.google.com/spreadsheets/d/1XL5vhW3sbDhbH9Cz0tuDiY8C3ctxq1tqvaCgkFb8cCA/edit?usp=sharing"",""ขอนแก่น!M249"")"),182978.5)</f>
        <v>182978.5</v>
      </c>
      <c r="O354" s="169">
        <f t="shared" ca="1" si="105"/>
        <v>52.349869825193835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IFERROR(__xludf.DUMMYFUNCTION("IMPORTRANGE(""https://docs.google.com/spreadsheets/d/1XL5vhW3sbDhbH9Cz0tuDiY8C3ctxq1tqvaCgkFb8cCA/edit?usp=sharing"",""ขอนแก่น!M250"")"),36540)</f>
        <v>36540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IFERROR(__xludf.DUMMYFUNCTION("IMPORTRANGE(""https://docs.google.com/spreadsheets/d/1XL5vhW3sbDhbH9Cz0tuDiY8C3ctxq1tqvaCgkFb8cCA/edit?usp=sharing"",""ขอนแก่น!M252"")"),76278.5)</f>
        <v>76278.5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IFERROR(__xludf.DUMMYFUNCTION("IMPORTRANGE(""https://docs.google.com/spreadsheets/d/1XL5vhW3sbDhbH9Cz0tuDiY8C3ctxq1tqvaCgkFb8cCA/edit?usp=sharing"",""ขอนแก่น!M253"")"),10235)</f>
        <v>10235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IFERROR(__xludf.DUMMYFUNCTION("IMPORTRANGE(""https://docs.google.com/spreadsheets/d/1XL5vhW3sbDhbH9Cz0tuDiY8C3ctxq1tqvaCgkFb8cCA/edit?usp=sharing"",""ขอนแก่น!J166"")"),0)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IFERROR(__xludf.DUMMYFUNCTION("IMPORTRANGE(""https://docs.google.com/spreadsheets/d/1XL5vhW3sbDhbH9Cz0tuDiY8C3ctxq1tqvaCgkFb8cCA/edit?usp=sharing"",""ขอนแก่น!J166"")"),0)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IFERROR(__xludf.DUMMYFUNCTION("IMPORTRANGE(""https://docs.google.com/spreadsheets/d/1XL5vhW3sbDhbH9Cz0tuDiY8C3ctxq1tqvaCgkFb8cCA/edit?usp=sharing"",""ขอนแก่น!J166"")"),0)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IFERROR(__xludf.DUMMYFUNCTION("IMPORTRANGE(""https://docs.google.com/spreadsheets/d/1XL5vhW3sbDhbH9Cz0tuDiY8C3ctxq1tqvaCgkFb8cCA/edit?usp=sharing"",""ขอนแก่น!J166"")"),0)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IFERROR(__xludf.DUMMYFUNCTION("IMPORTRANGE(""https://docs.google.com/spreadsheets/d/1XL5vhW3sbDhbH9Cz0tuDiY8C3ctxq1tqvaCgkFb8cCA/edit?usp=sharing"",""ขอนแก่น!J274"")"),0)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IFERROR(__xludf.DUMMYFUNCTION("IMPORTRANGE(""https://docs.google.com/spreadsheets/d/1XL5vhW3sbDhbH9Cz0tuDiY8C3ctxq1tqvaCgkFb8cCA/edit?usp=sharing"",""ขอนแก่น!M275"")"),204305.479999999)</f>
        <v>204305.47999999899</v>
      </c>
      <c r="O380" s="373">
        <f ca="1">+IF(L380&gt;0,N380*100/L380,0)</f>
        <v>19.864025979076633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IFERROR(__xludf.DUMMYFUNCTION("IMPORTRANGE(""https://docs.google.com/spreadsheets/d/1XL5vhW3sbDhbH9Cz0tuDiY8C3ctxq1tqvaCgkFb8cCA/edit?usp=sharing"",""ขอนแก่น!M278"")"),204305.479999999)</f>
        <v>204305.47999999899</v>
      </c>
      <c r="O383" s="165">
        <f t="shared" ca="1" si="109"/>
        <v>19.864025979076633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IFERROR(__xludf.DUMMYFUNCTION("IMPORTRANGE(""https://docs.google.com/spreadsheets/d/1XL5vhW3sbDhbH9Cz0tuDiY8C3ctxq1tqvaCgkFb8cCA/edit?usp=sharing"",""ขอนแก่น!M280"")"),204305.479999999)</f>
        <v>204305.47999999899</v>
      </c>
      <c r="O385" s="169">
        <f t="shared" ca="1" si="109"/>
        <v>19.864025979076633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IFERROR(__xludf.DUMMYFUNCTION("IMPORTRANGE(""https://docs.google.com/spreadsheets/d/1XL5vhW3sbDhbH9Cz0tuDiY8C3ctxq1tqvaCgkFb8cCA/edit?usp=sharing"",""ขอนแก่น!M281"")"),73930)</f>
        <v>73930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IFERROR(__xludf.DUMMYFUNCTION("IMPORTRANGE(""https://docs.google.com/spreadsheets/d/1XL5vhW3sbDhbH9Cz0tuDiY8C3ctxq1tqvaCgkFb8cCA/edit?usp=sharing"",""ขอนแก่น!M283"")"),86935.48)</f>
        <v>86935.48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IFERROR(__xludf.DUMMYFUNCTION("IMPORTRANGE(""https://docs.google.com/spreadsheets/d/1XL5vhW3sbDhbH9Cz0tuDiY8C3ctxq1tqvaCgkFb8cCA/edit?usp=sharing"",""ขอนแก่น!M284"")"),43440)</f>
        <v>43440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IFERROR(__xludf.DUMMYFUNCTION("IMPORTRANGE(""https://docs.google.com/spreadsheets/d/1XL5vhW3sbDhbH9Cz0tuDiY8C3ctxq1tqvaCgkFb8cCA/edit?usp=sharing"",""ขอนแก่น!J295"")"),0)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IFERROR(__xludf.DUMMYFUNCTION("IMPORTRANGE(""https://docs.google.com/spreadsheets/d/1XL5vhW3sbDhbH9Cz0tuDiY8C3ctxq1tqvaCgkFb8cCA/edit?usp=sharing"",""ขอนแก่น!M296"")"),88360)</f>
        <v>88360</v>
      </c>
      <c r="O401" s="373">
        <f ca="1">+IF(L401&gt;0,N401*100/L401,0)</f>
        <v>38.561578074539582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IFERROR(__xludf.DUMMYFUNCTION("IMPORTRANGE(""https://docs.google.com/spreadsheets/d/1XL5vhW3sbDhbH9Cz0tuDiY8C3ctxq1tqvaCgkFb8cCA/edit?usp=sharing"",""ขอนแก่น!M299"")"),88360)</f>
        <v>88360</v>
      </c>
      <c r="O404" s="169">
        <f t="shared" ca="1" si="112"/>
        <v>38.561578074539582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IFERROR(__xludf.DUMMYFUNCTION("IMPORTRANGE(""https://docs.google.com/spreadsheets/d/1XL5vhW3sbDhbH9Cz0tuDiY8C3ctxq1tqvaCgkFb8cCA/edit?usp=sharing"",""ขอนแก่น!M301"")"),88360)</f>
        <v>88360</v>
      </c>
      <c r="O406" s="169">
        <f t="shared" ca="1" si="112"/>
        <v>38.561578074539582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IFERROR(__xludf.DUMMYFUNCTION("IMPORTRANGE(""https://docs.google.com/spreadsheets/d/1XL5vhW3sbDhbH9Cz0tuDiY8C3ctxq1tqvaCgkFb8cCA/edit?usp=sharing"",""ขอนแก่น!M302"")"),41110)</f>
        <v>41110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IFERROR(__xludf.DUMMYFUNCTION("IMPORTRANGE(""https://docs.google.com/spreadsheets/d/1XL5vhW3sbDhbH9Cz0tuDiY8C3ctxq1tqvaCgkFb8cCA/edit?usp=sharing"",""ขอนแก่น!M303"")"),27250)</f>
        <v>27250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IFERROR(__xludf.DUMMYFUNCTION("IMPORTRANGE(""https://docs.google.com/spreadsheets/d/1XL5vhW3sbDhbH9Cz0tuDiY8C3ctxq1tqvaCgkFb8cCA/edit?usp=sharing"",""ขอนแก่น!M305"")"),20000)</f>
        <v>20000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IFERROR(__xludf.DUMMYFUNCTION("IMPORTRANGE(""https://docs.google.com/spreadsheets/d/1XL5vhW3sbDhbH9Cz0tuDiY8C3ctxq1tqvaCgkFb8cCA/edit?usp=sharing"",""ขอนแก่น!J329"")"),0)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IFERROR(__xludf.DUMMYFUNCTION("IMPORTRANGE(""https://docs.google.com/spreadsheets/d/1XL5vhW3sbDhbH9Cz0tuDiY8C3ctxq1tqvaCgkFb8cCA/edit?usp=sharing"",""ขอนแก่น!M330"")"),77217.68)</f>
        <v>77217.679999999993</v>
      </c>
      <c r="O435" s="412">
        <f t="shared" ref="O435:O439" ca="1" si="114">+IF(L435&gt;0,N435*100/L435,0)</f>
        <v>53.623388888888883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IFERROR(__xludf.DUMMYFUNCTION("IMPORTRANGE(""https://docs.google.com/spreadsheets/d/1XL5vhW3sbDhbH9Cz0tuDiY8C3ctxq1tqvaCgkFb8cCA/edit?usp=sharing"",""ขอนแก่น!M332"")"),77217.68)</f>
        <v>77217.679999999993</v>
      </c>
      <c r="O437" s="169">
        <f t="shared" ca="1" si="114"/>
        <v>53.623388888888883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IFERROR(__xludf.DUMMYFUNCTION("IMPORTRANGE(""https://docs.google.com/spreadsheets/d/1XL5vhW3sbDhbH9Cz0tuDiY8C3ctxq1tqvaCgkFb8cCA/edit?usp=sharing"",""ขอนแก่น!M334"")"),77217.68)</f>
        <v>77217.679999999993</v>
      </c>
      <c r="O439" s="169">
        <f t="shared" ca="1" si="114"/>
        <v>53.623388888888883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IFERROR(__xludf.DUMMYFUNCTION("IMPORTRANGE(""https://docs.google.com/spreadsheets/d/1XL5vhW3sbDhbH9Cz0tuDiY8C3ctxq1tqvaCgkFb8cCA/edit?usp=sharing"",""ขอนแก่น!M335"")"),64624)</f>
        <v>64624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IFERROR(__xludf.DUMMYFUNCTION("IMPORTRANGE(""https://docs.google.com/spreadsheets/d/1XL5vhW3sbDhbH9Cz0tuDiY8C3ctxq1tqvaCgkFb8cCA/edit?usp=sharing"",""ขอนแก่น!M338"")"),12593.68)</f>
        <v>12593.68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IFERROR(__xludf.DUMMYFUNCTION("IMPORTRANGE(""https://docs.google.com/spreadsheets/d/1XL5vhW3sbDhbH9Cz0tuDiY8C3ctxq1tqvaCgkFb8cCA/edit?usp=sharing"",""ขอนแก่น!J349"")"),0)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IFERROR(__xludf.DUMMYFUNCTION("IMPORTRANGE(""https://docs.google.com/spreadsheets/d/1XL5vhW3sbDhbH9Cz0tuDiY8C3ctxq1tqvaCgkFb8cCA/edit?usp=sharing"",""ขอนแก่น!J350"")"),56622)</f>
        <v>56622</v>
      </c>
      <c r="K455" s="372">
        <f ca="1">IF(I455&gt;0,J455*100/I455,0)</f>
        <v>90.896248374616732</v>
      </c>
      <c r="L455" s="373">
        <f ca="1">IFERROR(__xludf.DUMMYFUNCTION("IMPORTRANGE(""https://docs.google.com/spreadsheets/d/1XL5vhW3sbDhbH9Cz0tuDiY8C3ctxq1tqvaCgkFb8cCA/edit?usp=sharing"",""ขอนแก่น!L350"")"),594051)</f>
        <v>594051</v>
      </c>
      <c r="M455" s="373"/>
      <c r="N455" s="373">
        <f ca="1">IFERROR(__xludf.DUMMYFUNCTION("IMPORTRANGE(""https://docs.google.com/spreadsheets/d/1XL5vhW3sbDhbH9Cz0tuDiY8C3ctxq1tqvaCgkFb8cCA/edit?usp=sharing"",""ขอนแก่น!M350"")"),385489.37)</f>
        <v>385489.37</v>
      </c>
      <c r="O455" s="373">
        <f t="shared" ref="O455:O459" ca="1" si="116">+IF(L455&gt;0,N455*100/L455,0)</f>
        <v>64.891628833214654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IFERROR(__xludf.DUMMYFUNCTION("IMPORTRANGE(""https://docs.google.com/spreadsheets/d/1XL5vhW3sbDhbH9Cz0tuDiY8C3ctxq1tqvaCgkFb8cCA/edit?usp=sharing"",""ขอนแก่น!L352"")"),594051)</f>
        <v>594051</v>
      </c>
      <c r="M457" s="165"/>
      <c r="N457" s="169">
        <f ca="1">IFERROR(__xludf.DUMMYFUNCTION("IMPORTRANGE(""https://docs.google.com/spreadsheets/d/1XL5vhW3sbDhbH9Cz0tuDiY8C3ctxq1tqvaCgkFb8cCA/edit?usp=sharing"",""ขอนแก่น!M352"")"),385489.37)</f>
        <v>385489.37</v>
      </c>
      <c r="O457" s="169">
        <f t="shared" ca="1" si="116"/>
        <v>64.891628833214654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IFERROR(__xludf.DUMMYFUNCTION("IMPORTRANGE(""https://docs.google.com/spreadsheets/d/1XL5vhW3sbDhbH9Cz0tuDiY8C3ctxq1tqvaCgkFb8cCA/edit?usp=sharing"",""ขอนแก่น!L354"")"),594051)</f>
        <v>594051</v>
      </c>
      <c r="M459" s="169"/>
      <c r="N459" s="169">
        <f ca="1">IFERROR(__xludf.DUMMYFUNCTION("IMPORTRANGE(""https://docs.google.com/spreadsheets/d/1XL5vhW3sbDhbH9Cz0tuDiY8C3ctxq1tqvaCgkFb8cCA/edit?usp=sharing"",""ขอนแก่น!M354"")"),385489.37)</f>
        <v>385489.37</v>
      </c>
      <c r="O459" s="169">
        <f t="shared" ca="1" si="116"/>
        <v>64.891628833214654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IFERROR(__xludf.DUMMYFUNCTION("IMPORTRANGE(""https://docs.google.com/spreadsheets/d/1XL5vhW3sbDhbH9Cz0tuDiY8C3ctxq1tqvaCgkFb8cCA/edit?usp=sharing"",""ขอนแก่น!M357"")"),76645.17)</f>
        <v>76645.17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IFERROR(__xludf.DUMMYFUNCTION("IMPORTRANGE(""https://docs.google.com/spreadsheets/d/1XL5vhW3sbDhbH9Cz0tuDiY8C3ctxq1tqvaCgkFb8cCA/edit?usp=sharing"",""ขอนแก่น!M358"")"),308844.2)</f>
        <v>308844.2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IFERROR(__xludf.DUMMYFUNCTION("IMPORTRANGE(""https://docs.google.com/spreadsheets/d/1XL5vhW3sbDhbH9Cz0tuDiY8C3ctxq1tqvaCgkFb8cCA/edit?usp=sharing"",""ขอนแก่น!I359"")"),62293)</f>
        <v>62293</v>
      </c>
      <c r="J464" s="267">
        <f ca="1">IFERROR(__xludf.DUMMYFUNCTION("IMPORTRANGE(""https://docs.google.com/spreadsheets/d/1XL5vhW3sbDhbH9Cz0tuDiY8C3ctxq1tqvaCgkFb8cCA/edit?usp=sharing"",""ขอนแก่น!J359"")"),56622)</f>
        <v>56622</v>
      </c>
      <c r="K464" s="268">
        <f t="shared" ref="K464:K515" ca="1" si="117">IF(I464&gt;0,J464*100/I464,0)</f>
        <v>90.896248374616732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IFERROR(__xludf.DUMMYFUNCTION("IMPORTRANGE(""https://docs.google.com/spreadsheets/d/1XL5vhW3sbDhbH9Cz0tuDiY8C3ctxq1tqvaCgkFb8cCA/edit?usp=sharing"",""ขอนแก่น!J376"")"),56622)</f>
        <v>56622</v>
      </c>
      <c r="K481" s="202">
        <f t="shared" ca="1" si="117"/>
        <v>90.896248374616732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IFERROR(__xludf.DUMMYFUNCTION("IMPORTRANGE(""https://docs.google.com/spreadsheets/d/1XL5vhW3sbDhbH9Cz0tuDiY8C3ctxq1tqvaCgkFb8cCA/edit?usp=sharing"",""ขอนแก่น!J377"")"),6042)</f>
        <v>6042</v>
      </c>
      <c r="K482" s="163">
        <f t="shared" ca="1" si="117"/>
        <v>92.075586711368487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IFERROR(__xludf.DUMMYFUNCTION("IMPORTRANGE(""https://docs.google.com/spreadsheets/d/1XL5vhW3sbDhbH9Cz0tuDiY8C3ctxq1tqvaCgkFb8cCA/edit?usp=sharing"",""ขอนแก่น!J378"")"),56622)</f>
        <v>56622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IFERROR(__xludf.DUMMYFUNCTION("IMPORTRANGE(""https://docs.google.com/spreadsheets/d/1XL5vhW3sbDhbH9Cz0tuDiY8C3ctxq1tqvaCgkFb8cCA/edit?usp=sharing"",""ขอนแก่น!J379"")"),6042)</f>
        <v>6042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IFERROR(__xludf.DUMMYFUNCTION("IMPORTRANGE(""https://docs.google.com/spreadsheets/d/1XL5vhW3sbDhbH9Cz0tuDiY8C3ctxq1tqvaCgkFb8cCA/edit?usp=sharing"",""ขอนแก่น!I411"")"),0)</f>
        <v>0</v>
      </c>
      <c r="J516" s="267">
        <f ca="1">IFERROR(__xludf.DUMMYFUNCTION("IMPORTRANGE(""https://docs.google.com/spreadsheets/d/1XL5vhW3sbDhbH9Cz0tuDiY8C3ctxq1tqvaCgkFb8cCA/edit?usp=sharing"",""ขอนแก่น!J411"")"),0)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IFERROR(__xludf.DUMMYFUNCTION("IMPORTRANGE(""https://docs.google.com/spreadsheets/d/1XL5vhW3sbDhbH9Cz0tuDiY8C3ctxq1tqvaCgkFb8cCA/edit?usp=sharing"",""ขอนแก่น!I412"")"),0)</f>
        <v>0</v>
      </c>
      <c r="J517" s="284">
        <f ca="1">IFERROR(__xludf.DUMMYFUNCTION("IMPORTRANGE(""https://docs.google.com/spreadsheets/d/1XL5vhW3sbDhbH9Cz0tuDiY8C3ctxq1tqvaCgkFb8cCA/edit?usp=sharing"",""ขอนแก่น!J412"")"),0)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IFERROR(__xludf.DUMMYFUNCTION("IMPORTRANGE(""https://docs.google.com/spreadsheets/d/1XL5vhW3sbDhbH9Cz0tuDiY8C3ctxq1tqvaCgkFb8cCA/edit?usp=sharing"",""ขอนแก่น!I413"")"),0)</f>
        <v>0</v>
      </c>
      <c r="J518" s="284">
        <f ca="1">IFERROR(__xludf.DUMMYFUNCTION("IMPORTRANGE(""https://docs.google.com/spreadsheets/d/1XL5vhW3sbDhbH9Cz0tuDiY8C3ctxq1tqvaCgkFb8cCA/edit?usp=sharing"",""ขอนแก่น!J413"")"),0)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IFERROR(__xludf.DUMMYFUNCTION("IMPORTRANGE(""https://docs.google.com/spreadsheets/d/1XL5vhW3sbDhbH9Cz0tuDiY8C3ctxq1tqvaCgkFb8cCA/edit?usp=sharing"",""ขอนแก่น!I420"")"),14)</f>
        <v>14</v>
      </c>
      <c r="J525" s="284">
        <f ca="1">IFERROR(__xludf.DUMMYFUNCTION("IMPORTRANGE(""https://docs.google.com/spreadsheets/d/1XL5vhW3sbDhbH9Cz0tuDiY8C3ctxq1tqvaCgkFb8cCA/edit?usp=sharing"",""ขอนแก่น!J420"")"),14)</f>
        <v>14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IFERROR(__xludf.DUMMYFUNCTION("IMPORTRANGE(""https://docs.google.com/spreadsheets/d/1XL5vhW3sbDhbH9Cz0tuDiY8C3ctxq1tqvaCgkFb8cCA/edit?usp=sharing"",""ขอนแก่น!I421"")"),1)</f>
        <v>1</v>
      </c>
      <c r="J526" s="284">
        <f ca="1">IFERROR(__xludf.DUMMYFUNCTION("IMPORTRANGE(""https://docs.google.com/spreadsheets/d/1XL5vhW3sbDhbH9Cz0tuDiY8C3ctxq1tqvaCgkFb8cCA/edit?usp=sharing"",""ขอนแก่น!J421"")"),1)</f>
        <v>1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IFERROR(__xludf.DUMMYFUNCTION("IMPORTRANGE(""https://docs.google.com/spreadsheets/d/1XL5vhW3sbDhbH9Cz0tuDiY8C3ctxq1tqvaCgkFb8cCA/edit?usp=sharing"",""ขอนแก่น!M430"")"),21773)</f>
        <v>21773</v>
      </c>
      <c r="O535" s="169">
        <f t="shared" ca="1" si="118"/>
        <v>57.692103868574456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IFERROR(__xludf.DUMMYFUNCTION("IMPORTRANGE(""https://docs.google.com/spreadsheets/d/1XL5vhW3sbDhbH9Cz0tuDiY8C3ctxq1tqvaCgkFb8cCA/edit?usp=sharing"",""ขอนแก่น!M432"")"),21773)</f>
        <v>21773</v>
      </c>
      <c r="O537" s="169">
        <f t="shared" ca="1" si="118"/>
        <v>57.692103868574456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IFERROR(__xludf.DUMMYFUNCTION("IMPORTRANGE(""https://docs.google.com/spreadsheets/d/1XL5vhW3sbDhbH9Cz0tuDiY8C3ctxq1tqvaCgkFb8cCA/edit?usp=sharing"",""ขอนแก่น!J166"")"),0)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IFERROR(__xludf.DUMMYFUNCTION("IMPORTRANGE(""https://docs.google.com/spreadsheets/d/1XL5vhW3sbDhbH9Cz0tuDiY8C3ctxq1tqvaCgkFb8cCA/edit?usp=sharing"",""ขอนแก่น!J459"")"),7336)</f>
        <v>7336</v>
      </c>
      <c r="K564" s="372">
        <f ca="1">IF(I564&gt;0,J564*100/I564,0)</f>
        <v>244.53333333333333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IFERROR(__xludf.DUMMYFUNCTION("IMPORTRANGE(""https://docs.google.com/spreadsheets/d/1XL5vhW3sbDhbH9Cz0tuDiY8C3ctxq1tqvaCgkFb8cCA/edit?usp=sharing"",""ขอนแก่น!M459"")"),104934.45)</f>
        <v>104934.45</v>
      </c>
      <c r="O564" s="373">
        <f t="shared" ref="O564:O568" ca="1" si="122">+IF(L564&gt;0,N564*100/L564,0)</f>
        <v>63.061568509615384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IFERROR(__xludf.DUMMYFUNCTION("IMPORTRANGE(""https://docs.google.com/spreadsheets/d/1XL5vhW3sbDhbH9Cz0tuDiY8C3ctxq1tqvaCgkFb8cCA/edit?usp=sharing"",""ขอนแก่น!M461"")"),104934.45)</f>
        <v>104934.45</v>
      </c>
      <c r="O566" s="169">
        <f t="shared" ca="1" si="122"/>
        <v>63.061568509615384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IFERROR(__xludf.DUMMYFUNCTION("IMPORTRANGE(""https://docs.google.com/spreadsheets/d/1XL5vhW3sbDhbH9Cz0tuDiY8C3ctxq1tqvaCgkFb8cCA/edit?usp=sharing"",""ขอนแก่น!M463"")"),104934.45)</f>
        <v>104934.45</v>
      </c>
      <c r="O568" s="169">
        <f t="shared" ca="1" si="122"/>
        <v>63.061568509615384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IFERROR(__xludf.DUMMYFUNCTION("IMPORTRANGE(""https://docs.google.com/spreadsheets/d/1XL5vhW3sbDhbH9Cz0tuDiY8C3ctxq1tqvaCgkFb8cCA/edit?usp=sharing"",""ขอนแก่น!M466"")"),85111.45)</f>
        <v>85111.45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IFERROR(__xludf.DUMMYFUNCTION("IMPORTRANGE(""https://docs.google.com/spreadsheets/d/1XL5vhW3sbDhbH9Cz0tuDiY8C3ctxq1tqvaCgkFb8cCA/edit?usp=sharing"",""ขอนแก่น!M467"")"),19823)</f>
        <v>19823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IFERROR(__xludf.DUMMYFUNCTION("IMPORTRANGE(""https://docs.google.com/spreadsheets/d/1XL5vhW3sbDhbH9Cz0tuDiY8C3ctxq1tqvaCgkFb8cCA/edit?usp=sharing"",""ขอนแก่น!J468"")"),7336)</f>
        <v>7336</v>
      </c>
      <c r="K573" s="202">
        <f ca="1">IF(I573&gt;0,J573*100/I573,0)</f>
        <v>244.53333333333333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IFERROR(__xludf.DUMMYFUNCTION("IMPORTRANGE(""https://docs.google.com/spreadsheets/d/1XL5vhW3sbDhbH9Cz0tuDiY8C3ctxq1tqvaCgkFb8cCA/edit?usp=sharing"",""ขอนแก่น!J471"")"),386)</f>
        <v>386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IFERROR(__xludf.DUMMYFUNCTION("IMPORTRANGE(""https://docs.google.com/spreadsheets/d/1XL5vhW3sbDhbH9Cz0tuDiY8C3ctxq1tqvaCgkFb8cCA/edit?usp=sharing"",""ขอนแก่น!J472"")"),6949)</f>
        <v>6949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IFERROR(__xludf.DUMMYFUNCTION("IMPORTRANGE(""https://docs.google.com/spreadsheets/d/1XL5vhW3sbDhbH9Cz0tuDiY8C3ctxq1tqvaCgkFb8cCA/edit?usp=sharing"",""ขอนแก่น!L477"")"),172040)</f>
        <v>172040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IFERROR(__xludf.DUMMYFUNCTION("IMPORTRANGE(""https://docs.google.com/spreadsheets/d/1XL5vhW3sbDhbH9Cz0tuDiY8C3ctxq1tqvaCgkFb8cCA/edit?usp=sharing"",""ขอนแก่น!L479"")"),172040)</f>
        <v>172040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IFERROR(__xludf.DUMMYFUNCTION("IMPORTRANGE(""https://docs.google.com/spreadsheets/d/1XL5vhW3sbDhbH9Cz0tuDiY8C3ctxq1tqvaCgkFb8cCA/edit?usp=sharing"",""ขอนแก่น!I491"")"),0)</f>
        <v>0</v>
      </c>
      <c r="J596" s="241">
        <f ca="1">IFERROR(__xludf.DUMMYFUNCTION("IMPORTRANGE(""https://docs.google.com/spreadsheets/d/1XL5vhW3sbDhbH9Cz0tuDiY8C3ctxq1tqvaCgkFb8cCA/edit?usp=sharing"",""ขอนแก่น!J491"")"),0)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7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IFERROR(__xludf.DUMMYFUNCTION("IMPORTRANGE(""https://docs.google.com/spreadsheets/d/1XL5vhW3sbDhbH9Cz0tuDiY8C3ctxq1tqvaCgkFb8cCA/edit?usp=sharing"",""ขอนแก่น!L492"")"),10500)</f>
        <v>10500</v>
      </c>
      <c r="M597" s="412"/>
      <c r="N597" s="412">
        <f ca="1">IFERROR(__xludf.DUMMYFUNCTION("IMPORTRANGE(""https://docs.google.com/spreadsheets/d/1XL5vhW3sbDhbH9Cz0tuDiY8C3ctxq1tqvaCgkFb8cCA/edit?usp=sharing"",""ขอนแก่น!M492"")"),5450)</f>
        <v>5450</v>
      </c>
      <c r="O597" s="412">
        <f t="shared" ref="O597:O601" ca="1" si="126">+IF(L597&gt;0,N597*100/L597,0)</f>
        <v>51.904761904761905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IFERROR(__xludf.DUMMYFUNCTION("IMPORTRANGE(""https://docs.google.com/spreadsheets/d/1XL5vhW3sbDhbH9Cz0tuDiY8C3ctxq1tqvaCgkFb8cCA/edit?usp=sharing"",""ขอนแก่น!L494"")"),10500)</f>
        <v>10500</v>
      </c>
      <c r="M599" s="165"/>
      <c r="N599" s="169">
        <f ca="1">IFERROR(__xludf.DUMMYFUNCTION("IMPORTRANGE(""https://docs.google.com/spreadsheets/d/1XL5vhW3sbDhbH9Cz0tuDiY8C3ctxq1tqvaCgkFb8cCA/edit?usp=sharing"",""ขอนแก่น!M494"")"),5450)</f>
        <v>5450</v>
      </c>
      <c r="O599" s="169">
        <f t="shared" ca="1" si="126"/>
        <v>51.904761904761905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IFERROR(__xludf.DUMMYFUNCTION("IMPORTRANGE(""https://docs.google.com/spreadsheets/d/1XL5vhW3sbDhbH9Cz0tuDiY8C3ctxq1tqvaCgkFb8cCA/edit?usp=sharing"",""ขอนแก่น!L496"")"),10500)</f>
        <v>10500</v>
      </c>
      <c r="M601" s="169"/>
      <c r="N601" s="169">
        <f ca="1">IFERROR(__xludf.DUMMYFUNCTION("IMPORTRANGE(""https://docs.google.com/spreadsheets/d/1XL5vhW3sbDhbH9Cz0tuDiY8C3ctxq1tqvaCgkFb8cCA/edit?usp=sharing"",""ขอนแก่น!M496"")"),5450)</f>
        <v>5450</v>
      </c>
      <c r="O601" s="169">
        <f t="shared" ca="1" si="126"/>
        <v>51.904761904761905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IFERROR(__xludf.DUMMYFUNCTION("IMPORTRANGE(""https://docs.google.com/spreadsheets/d/1XL5vhW3sbDhbH9Cz0tuDiY8C3ctxq1tqvaCgkFb8cCA/edit?usp=sharing"",""ขอนแก่น!M500"")"),5450)</f>
        <v>5450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IFERROR(__xludf.DUMMYFUNCTION("IMPORTRANGE(""https://docs.google.com/spreadsheets/d/1XL5vhW3sbDhbH9Cz0tuDiY8C3ctxq1tqvaCgkFb8cCA/edit?usp=sharing"",""ขอนแก่น!J166"")"),0)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IFERROR(__xludf.DUMMYFUNCTION("IMPORTRANGE(""https://docs.google.com/spreadsheets/d/1XL5vhW3sbDhbH9Cz0tuDiY8C3ctxq1tqvaCgkFb8cCA/edit?usp=sharing"",""ขอนแก่น!J166"")"),0)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IFERROR(__xludf.DUMMYFUNCTION("IMPORTRANGE(""https://docs.google.com/spreadsheets/d/1XL5vhW3sbDhbH9Cz0tuDiY8C3ctxq1tqvaCgkFb8cCA/edit?usp=sharing"",""ขอนแก่น!I523"")"),3622257.64)</f>
        <v>3622257.64</v>
      </c>
      <c r="J628" s="341">
        <f ca="1">IFERROR(__xludf.DUMMYFUNCTION("IMPORTRANGE(""https://docs.google.com/spreadsheets/d/1XL5vhW3sbDhbH9Cz0tuDiY8C3ctxq1tqvaCgkFb8cCA/edit?usp=sharing"",""ขอนแก่น!J523"")"),2244112.96)</f>
        <v>2244112.96</v>
      </c>
      <c r="K628" s="342">
        <f t="shared" ref="K628:K635" ca="1" si="129">IF(I628&gt;0,J628*100/I628,0)</f>
        <v>61.953432997659434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IFERROR(__xludf.DUMMYFUNCTION("IMPORTRANGE(""https://docs.google.com/spreadsheets/d/1XL5vhW3sbDhbH9Cz0tuDiY8C3ctxq1tqvaCgkFb8cCA/edit?usp=sharing"",""ขอนแก่น!I524"")"),242)</f>
        <v>242</v>
      </c>
      <c r="J629" s="341">
        <f ca="1">IFERROR(__xludf.DUMMYFUNCTION("IMPORTRANGE(""https://docs.google.com/spreadsheets/d/1XL5vhW3sbDhbH9Cz0tuDiY8C3ctxq1tqvaCgkFb8cCA/edit?usp=sharing"",""ขอนแก่น!J524"")"),129)</f>
        <v>129</v>
      </c>
      <c r="K629" s="342">
        <f t="shared" ca="1" si="129"/>
        <v>53.305785123966942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1">
        <f ca="1">IFERROR(__xludf.DUMMYFUNCTION("IMPORTRANGE(""https://docs.google.com/spreadsheets/d/1XL5vhW3sbDhbH9Cz0tuDiY8C3ctxq1tqvaCgkFb8cCA/edit?usp=sharing"",""ขอนแก่น!J525"")"),1415718.29)</f>
        <v>1415718.29</v>
      </c>
      <c r="K630" s="342">
        <f t="shared" ca="1" si="129"/>
        <v>6.6566553812903058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IFERROR(__xludf.DUMMYFUNCTION("IMPORTRANGE(""https://docs.google.com/spreadsheets/d/1XL5vhW3sbDhbH9Cz0tuDiY8C3ctxq1tqvaCgkFb8cCA/edit?usp=sharing"",""ขอนแก่น!I526"")"),613)</f>
        <v>613</v>
      </c>
      <c r="J631" s="341">
        <f ca="1">IFERROR(__xludf.DUMMYFUNCTION("IMPORTRANGE(""https://docs.google.com/spreadsheets/d/1XL5vhW3sbDhbH9Cz0tuDiY8C3ctxq1tqvaCgkFb8cCA/edit?usp=sharing"",""ขอนแก่น!J526"")"),186)</f>
        <v>186</v>
      </c>
      <c r="K631" s="342">
        <f t="shared" ca="1" si="129"/>
        <v>30.342577487765091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IFERROR(__xludf.DUMMYFUNCTION("IMPORTRANGE(""https://docs.google.com/spreadsheets/d/1XL5vhW3sbDhbH9Cz0tuDiY8C3ctxq1tqvaCgkFb8cCA/edit?usp=sharing"",""ขอนแก่น!I527"")"),490580.36)</f>
        <v>490580.36</v>
      </c>
      <c r="J632" s="341">
        <f ca="1">IFERROR(__xludf.DUMMYFUNCTION("IMPORTRANGE(""https://docs.google.com/spreadsheets/d/1XL5vhW3sbDhbH9Cz0tuDiY8C3ctxq1tqvaCgkFb8cCA/edit?usp=sharing"",""ขอนแก่น!J527"")"),154717.23)</f>
        <v>154717.23000000001</v>
      </c>
      <c r="K632" s="342">
        <f t="shared" ca="1" si="129"/>
        <v>31.537591517116589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IFERROR(__xludf.DUMMYFUNCTION("IMPORTRANGE(""https://docs.google.com/spreadsheets/d/1XL5vhW3sbDhbH9Cz0tuDiY8C3ctxq1tqvaCgkFb8cCA/edit?usp=sharing"",""ขอนแก่น!I528"")"),60)</f>
        <v>60</v>
      </c>
      <c r="J633" s="341">
        <f ca="1">IFERROR(__xludf.DUMMYFUNCTION("IMPORTRANGE(""https://docs.google.com/spreadsheets/d/1XL5vhW3sbDhbH9Cz0tuDiY8C3ctxq1tqvaCgkFb8cCA/edit?usp=sharing"",""ขอนแก่น!J528"")"),43)</f>
        <v>43</v>
      </c>
      <c r="K633" s="342">
        <f t="shared" ca="1" si="129"/>
        <v>71.666666666666671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IFERROR(__xludf.DUMMYFUNCTION("IMPORTRANGE(""https://docs.google.com/spreadsheets/d/1XL5vhW3sbDhbH9Cz0tuDiY8C3ctxq1tqvaCgkFb8cCA/edit?usp=sharing"",""ขอนแก่น!I529"")"),6500000)</f>
        <v>6500000</v>
      </c>
      <c r="J634" s="341">
        <f ca="1">IFERROR(__xludf.DUMMYFUNCTION("IMPORTRANGE(""https://docs.google.com/spreadsheets/d/1XL5vhW3sbDhbH9Cz0tuDiY8C3ctxq1tqvaCgkFb8cCA/edit?usp=sharing"",""ขอนแก่น!J529"")"),3550000)</f>
        <v>3550000</v>
      </c>
      <c r="K634" s="342">
        <f t="shared" ca="1" si="129"/>
        <v>54.615384615384613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IFERROR(__xludf.DUMMYFUNCTION("IMPORTRANGE(""https://docs.google.com/spreadsheets/d/1XL5vhW3sbDhbH9Cz0tuDiY8C3ctxq1tqvaCgkFb8cCA/edit?usp=sharing"",""ขอนแก่น!I530"")"),130)</f>
        <v>130</v>
      </c>
      <c r="J635" s="504">
        <f ca="1">IFERROR(__xludf.DUMMYFUNCTION("IMPORTRANGE(""https://docs.google.com/spreadsheets/d/1XL5vhW3sbDhbH9Cz0tuDiY8C3ctxq1tqvaCgkFb8cCA/edit?usp=sharing"",""ขอนแก่น!J530"")"),72)</f>
        <v>72</v>
      </c>
      <c r="K635" s="486">
        <f t="shared" ca="1" si="129"/>
        <v>55.384615384615387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5385</v>
      </c>
      <c r="M636" s="560"/>
      <c r="N636" s="559">
        <f ca="1">SUM(N637:N638)</f>
        <v>1235</v>
      </c>
      <c r="O636" s="559">
        <f t="shared" ref="O636:O640" ca="1" si="130">+IF(L636&gt;0,N636*100/L636,0)</f>
        <v>22.934076137418757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5385</v>
      </c>
      <c r="M638" s="570"/>
      <c r="N638" s="571">
        <f ca="1">SUM(N639:N640)</f>
        <v>1235</v>
      </c>
      <c r="O638" s="571">
        <f t="shared" ca="1" si="130"/>
        <v>22.934076137418757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5385</v>
      </c>
      <c r="M640" s="570"/>
      <c r="N640" s="571">
        <f ca="1">SUM(N641:N644)</f>
        <v>1235</v>
      </c>
      <c r="O640" s="571">
        <f t="shared" ca="1" si="130"/>
        <v>22.934076137418757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1235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IFERROR(__xludf.DUMMYFUNCTION("IMPORTRANGE(""https://docs.google.com/spreadsheets/d/1XL5vhW3sbDhbH9Cz0tuDiY8C3ctxq1tqvaCgkFb8cCA/edit#gid=346597447"",""ขอนแก่น!J541"")"),0)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IFERROR(__xludf.DUMMYFUNCTION("IMPORTRANGE(""https://docs.google.com/spreadsheets/d/1XL5vhW3sbDhbH9Cz0tuDiY8C3ctxq1tqvaCgkFb8cCA/edit#gid=346597447"",""ขอนแก่น!J542"")"),0)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IFERROR(__xludf.DUMMYFUNCTION("IMPORTRANGE(""https://docs.google.com/spreadsheets/d/1XL5vhW3sbDhbH9Cz0tuDiY8C3ctxq1tqvaCgkFb8cCA/edit#gid=346597447"",""ขอนแก่น!I543"")"),0)</f>
        <v>0</v>
      </c>
      <c r="J648" s="585">
        <f ca="1">IFERROR(__xludf.DUMMYFUNCTION("IMPORTRANGE(""https://docs.google.com/spreadsheets/d/1XL5vhW3sbDhbH9Cz0tuDiY8C3ctxq1tqvaCgkFb8cCA/edit#gid=346597447"",""ขอนแก่น!J543"")"),0)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IFERROR(__xludf.DUMMYFUNCTION("IMPORTRANGE(""https://docs.google.com/spreadsheets/d/1XL5vhW3sbDhbH9Cz0tuDiY8C3ctxq1tqvaCgkFb8cCA/edit#gid=346597447"",""ขอนแก่น!L543"")"),0)</f>
        <v>0</v>
      </c>
      <c r="M648" s="570"/>
      <c r="N648" s="587">
        <f ca="1">IFERROR(__xludf.DUMMYFUNCTION("IMPORTRANGE(""https://docs.google.com/spreadsheets/d/1XL5vhW3sbDhbH9Cz0tuDiY8C3ctxq1tqvaCgkFb8cCA/edit#gid=346597447"",""ขอนแก่น!M543"")"),0)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IFERROR(__xludf.DUMMYFUNCTION("IMPORTRANGE(""https://docs.google.com/spreadsheets/d/1XL5vhW3sbDhbH9Cz0tuDiY8C3ctxq1tqvaCgkFb8cCA/edit#gid=346597447"",""ขอนแก่น!I544"")"),0)</f>
        <v>0</v>
      </c>
      <c r="J649" s="585">
        <f ca="1">IFERROR(__xludf.DUMMYFUNCTION("IMPORTRANGE(""https://docs.google.com/spreadsheets/d/1XL5vhW3sbDhbH9Cz0tuDiY8C3ctxq1tqvaCgkFb8cCA/edit#gid=346597447"",""ขอนแก่น!J544"")"),0)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IFERROR(__xludf.DUMMYFUNCTION("IMPORTRANGE(""https://docs.google.com/spreadsheets/d/1XL5vhW3sbDhbH9Cz0tuDiY8C3ctxq1tqvaCgkFb8cCA/edit#gid=346597447"",""ขอนแก่น!L544"")"),0)</f>
        <v>0</v>
      </c>
      <c r="M649" s="570"/>
      <c r="N649" s="587">
        <f ca="1">IFERROR(__xludf.DUMMYFUNCTION("IMPORTRANGE(""https://docs.google.com/spreadsheets/d/1XL5vhW3sbDhbH9Cz0tuDiY8C3ctxq1tqvaCgkFb8cCA/edit#gid=346597447"",""ขอนแก่น!M544"")"),0)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IFERROR(__xludf.DUMMYFUNCTION("IMPORTRANGE(""https://docs.google.com/spreadsheets/d/1XL5vhW3sbDhbH9Cz0tuDiY8C3ctxq1tqvaCgkFb8cCA/edit#gid=346597447"",""ขอนแก่น!I545"")"),14)</f>
        <v>14</v>
      </c>
      <c r="J650" s="585">
        <f ca="1">IFERROR(__xludf.DUMMYFUNCTION("IMPORTRANGE(""https://docs.google.com/spreadsheets/d/1XL5vhW3sbDhbH9Cz0tuDiY8C3ctxq1tqvaCgkFb8cCA/edit#gid=346597447"",""ขอนแก่น!J545"")"),0)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IFERROR(__xludf.DUMMYFUNCTION("IMPORTRANGE(""https://docs.google.com/spreadsheets/d/1XL5vhW3sbDhbH9Cz0tuDiY8C3ctxq1tqvaCgkFb8cCA/edit#gid=346597447"",""ขอนแก่น!L545"")"),70)</f>
        <v>70</v>
      </c>
      <c r="M650" s="570"/>
      <c r="N650" s="587">
        <f ca="1">IFERROR(__xludf.DUMMYFUNCTION("IMPORTRANGE(""https://docs.google.com/spreadsheets/d/1XL5vhW3sbDhbH9Cz0tuDiY8C3ctxq1tqvaCgkFb8cCA/edit#gid=346597447"",""ขอนแก่น!M545"")"),1120)</f>
        <v>1120</v>
      </c>
      <c r="O650" s="586">
        <f t="shared" ca="1" si="132"/>
        <v>1600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IFERROR(__xludf.DUMMYFUNCTION("IMPORTRANGE(""https://docs.google.com/spreadsheets/d/1XL5vhW3sbDhbH9Cz0tuDiY8C3ctxq1tqvaCgkFb8cCA/edit#gid=346597447"",""ขอนแก่น!I546"")"),203)</f>
        <v>203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IFERROR(__xludf.DUMMYFUNCTION("IMPORTRANGE(""https://docs.google.com/spreadsheets/d/1XL5vhW3sbDhbH9Cz0tuDiY8C3ctxq1tqvaCgkFb8cCA/edit#gid=346597447"",""ขอนแก่น!L546"")"),5075)</f>
        <v>5075</v>
      </c>
      <c r="M651" s="570"/>
      <c r="N651" s="587">
        <f ca="1">IFERROR(__xludf.DUMMYFUNCTION("IMPORTRANGE(""https://docs.google.com/spreadsheets/d/1XL5vhW3sbDhbH9Cz0tuDiY8C3ctxq1tqvaCgkFb8cCA/edit#gid=346597447"",""ขอนแก่น!M546"")"),115)</f>
        <v>115</v>
      </c>
      <c r="O651" s="586">
        <f t="shared" ca="1" si="132"/>
        <v>2.2660098522167487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IFERROR(__xludf.DUMMYFUNCTION("IMPORTRANGE(""https://docs.google.com/spreadsheets/d/1XL5vhW3sbDhbH9Cz0tuDiY8C3ctxq1tqvaCgkFb8cCA/edit#gid=346597447"",""ขอนแก่น!J547"")"),0)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IFERROR(__xludf.DUMMYFUNCTION("IMPORTRANGE(""https://docs.google.com/spreadsheets/d/1XL5vhW3sbDhbH9Cz0tuDiY8C3ctxq1tqvaCgkFb8cCA/edit#gid=346597447"",""ขอนแก่น!J548"")"),0)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IFERROR(__xludf.DUMMYFUNCTION("IMPORTRANGE(""https://docs.google.com/spreadsheets/d/1XL5vhW3sbDhbH9Cz0tuDiY8C3ctxq1tqvaCgkFb8cCA/edit#gid=346597447"",""ขอนแก่น!J550"")"),0)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IFERROR(__xludf.DUMMYFUNCTION("IMPORTRANGE(""https://docs.google.com/spreadsheets/d/1XL5vhW3sbDhbH9Cz0tuDiY8C3ctxq1tqvaCgkFb8cCA/edit#gid=346597447"",""ขอนแก่น!J551"")"),0)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IFERROR(__xludf.DUMMYFUNCTION("IMPORTRANGE(""https://docs.google.com/spreadsheets/d/1XL5vhW3sbDhbH9Cz0tuDiY8C3ctxq1tqvaCgkFb8cCA/edit#gid=346597447"",""ขอนแก่น!J552"")"),0)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IFERROR(__xludf.DUMMYFUNCTION("IMPORTRANGE(""https://docs.google.com/spreadsheets/d/1XL5vhW3sbDhbH9Cz0tuDiY8C3ctxq1tqvaCgkFb8cCA/edit#gid=346597447"",""ขอนแก่น!J553"")"),0)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IFERROR(__xludf.DUMMYFUNCTION("IMPORTRANGE(""https://docs.google.com/spreadsheets/d/1XL5vhW3sbDhbH9Cz0tuDiY8C3ctxq1tqvaCgkFb8cCA/edit#gid=346597447"",""ขอนแก่น!J554"")"),0)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IFERROR(__xludf.DUMMYFUNCTION("IMPORTRANGE(""https://docs.google.com/spreadsheets/d/1XL5vhW3sbDhbH9Cz0tuDiY8C3ctxq1tqvaCgkFb8cCA/edit#gid=346597447"",""ขอนแก่น!J555"")"),0)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IFERROR(__xludf.DUMMYFUNCTION("IMPORTRANGE(""https://docs.google.com/spreadsheets/d/1XL5vhW3sbDhbH9Cz0tuDiY8C3ctxq1tqvaCgkFb8cCA/edit#gid=346597447"",""ขอนแก่น!J556"")"),0)</f>
        <v>0</v>
      </c>
      <c r="K661" s="586"/>
      <c r="L661" s="571">
        <f ca="1">IFERROR(__xludf.DUMMYFUNCTION("IMPORTRANGE(""https://docs.google.com/spreadsheets/d/1XL5vhW3sbDhbH9Cz0tuDiY8C3ctxq1tqvaCgkFb8cCA/edit#gid=346597447"",""ขอนแก่น!L556"")"),0)</f>
        <v>0</v>
      </c>
      <c r="M661" s="570"/>
      <c r="N661" s="587">
        <f ca="1">IFERROR(__xludf.DUMMYFUNCTION("IMPORTRANGE(""https://docs.google.com/spreadsheets/d/1XL5vhW3sbDhbH9Cz0tuDiY8C3ctxq1tqvaCgkFb8cCA/edit#gid=346597447"",""ขอนแก่น!M556"")"),0)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IFERROR(__xludf.DUMMYFUNCTION("IMPORTRANGE(""https://docs.google.com/spreadsheets/d/1XL5vhW3sbDhbH9Cz0tuDiY8C3ctxq1tqvaCgkFb8cCA/edit#gid=346597447"",""ขอนแก่น!J557"")"),0)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IFERROR(__xludf.DUMMYFUNCTION("IMPORTRANGE(""https://docs.google.com/spreadsheets/d/1XL5vhW3sbDhbH9Cz0tuDiY8C3ctxq1tqvaCgkFb8cCA/edit#gid=346597447"",""ขอนแก่น!I558"")"),0)</f>
        <v>0</v>
      </c>
      <c r="J663" s="585">
        <f ca="1">IFERROR(__xludf.DUMMYFUNCTION("IMPORTRANGE(""https://docs.google.com/spreadsheets/d/1XL5vhW3sbDhbH9Cz0tuDiY8C3ctxq1tqvaCgkFb8cCA/edit#gid=346597447"",""ขอนแก่น!J558"")"),0)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IFERROR(__xludf.DUMMYFUNCTION("IMPORTRANGE(""https://docs.google.com/spreadsheets/d/1XL5vhW3sbDhbH9Cz0tuDiY8C3ctxq1tqvaCgkFb8cCA/edit#gid=346597447"",""ขอนแก่น!I560"")"),2)</f>
        <v>2</v>
      </c>
      <c r="J665" s="585">
        <f ca="1">IFERROR(__xludf.DUMMYFUNCTION("IMPORTRANGE(""https://docs.google.com/spreadsheets/d/1XL5vhW3sbDhbH9Cz0tuDiY8C3ctxq1tqvaCgkFb8cCA/edit#gid=346597447"",""ขอนแก่น!J560"")"),0)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IFERROR(__xludf.DUMMYFUNCTION("IMPORTRANGE(""https://docs.google.com/spreadsheets/d/1XL5vhW3sbDhbH9Cz0tuDiY8C3ctxq1tqvaCgkFb8cCA/edit#gid=346597447"",""ขอนแก่น!L560"")"),240)</f>
        <v>240</v>
      </c>
      <c r="M665" s="570"/>
      <c r="N665" s="587">
        <f ca="1">IFERROR(__xludf.DUMMYFUNCTION("IMPORTRANGE(""https://docs.google.com/spreadsheets/d/1XL5vhW3sbDhbH9Cz0tuDiY8C3ctxq1tqvaCgkFb8cCA/edit#gid=346597447"",""ขอนแก่น!M560"")"),0)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IFERROR(__xludf.DUMMYFUNCTION("IMPORTRANGE(""https://docs.google.com/spreadsheets/d/1XL5vhW3sbDhbH9Cz0tuDiY8C3ctxq1tqvaCgkFb8cCA/edit#gid=346597447"",""ขอนแก่น!J561"")"),0)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IFERROR(__xludf.DUMMYFUNCTION("IMPORTRANGE(""https://docs.google.com/spreadsheets/d/1XL5vhW3sbDhbH9Cz0tuDiY8C3ctxq1tqvaCgkFb8cCA/edit#gid=346597447"",""ขอนแก่น!J562"")"),0)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IFERROR(__xludf.DUMMYFUNCTION("IMPORTRANGE(""https://docs.google.com/spreadsheets/d/1XL5vhW3sbDhbH9Cz0tuDiY8C3ctxq1tqvaCgkFb8cCA/edit#gid=346597447"",""ขอนแก่น!I563"")"),0)</f>
        <v>0</v>
      </c>
      <c r="J668" s="585">
        <f ca="1">IFERROR(__xludf.DUMMYFUNCTION("IMPORTRANGE(""https://docs.google.com/spreadsheets/d/1XL5vhW3sbDhbH9Cz0tuDiY8C3ctxq1tqvaCgkFb8cCA/edit#gid=346597447"",""ขอนแก่น!J563"")"),0)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IFERROR(__xludf.DUMMYFUNCTION("IMPORTRANGE(""https://docs.google.com/spreadsheets/d/1XL5vhW3sbDhbH9Cz0tuDiY8C3ctxq1tqvaCgkFb8cCA/edit#gid=346597447"",""ขอนแก่น!L563"")"),0)</f>
        <v>0</v>
      </c>
      <c r="M668" s="570"/>
      <c r="N668" s="587">
        <f ca="1">IFERROR(__xludf.DUMMYFUNCTION("IMPORTRANGE(""https://docs.google.com/spreadsheets/d/1XL5vhW3sbDhbH9Cz0tuDiY8C3ctxq1tqvaCgkFb8cCA/edit#gid=346597447"",""ขอนแก่น!M563"")"),0)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IFERROR(__xludf.DUMMYFUNCTION("IMPORTRANGE(""https://docs.google.com/spreadsheets/d/1XL5vhW3sbDhbH9Cz0tuDiY8C3ctxq1tqvaCgkFb8cCA/edit#gid=346597447"",""ขอนแก่น!J564"")"),0)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IFERROR(__xludf.DUMMYFUNCTION("IMPORTRANGE(""https://docs.google.com/spreadsheets/d/1XL5vhW3sbDhbH9Cz0tuDiY8C3ctxq1tqvaCgkFb8cCA/edit#gid=346597447"",""ขอนแก่น!J565"")"),0)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IFERROR(__xludf.DUMMYFUNCTION("IMPORTRANGE(""https://docs.google.com/spreadsheets/d/1XL5vhW3sbDhbH9Cz0tuDiY8C3ctxq1tqvaCgkFb8cCA/edit#gid=346597447"",""ขอนแก่น!I566"")"),0)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IFERROR(__xludf.DUMMYFUNCTION("IMPORTRANGE(""https://docs.google.com/spreadsheets/d/1XL5vhW3sbDhbH9Cz0tuDiY8C3ctxq1tqvaCgkFb8cCA/edit#gid=346597447"",""ขอนแก่น!L566"")"),0)</f>
        <v>0</v>
      </c>
      <c r="M671" s="570"/>
      <c r="N671" s="587">
        <f ca="1">IFERROR(__xludf.DUMMYFUNCTION("IMPORTRANGE(""https://docs.google.com/spreadsheets/d/1XL5vhW3sbDhbH9Cz0tuDiY8C3ctxq1tqvaCgkFb8cCA/edit#gid=346597447"",""ขอนแก่น!M566"")"),0)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IFERROR(__xludf.DUMMYFUNCTION("IMPORTRANGE(""https://docs.google.com/spreadsheets/d/1XL5vhW3sbDhbH9Cz0tuDiY8C3ctxq1tqvaCgkFb8cCA/edit#gid=346597447"",""ขอนแก่น!J567"")"),0)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IFERROR(__xludf.DUMMYFUNCTION("IMPORTRANGE(""https://docs.google.com/spreadsheets/d/1XL5vhW3sbDhbH9Cz0tuDiY8C3ctxq1tqvaCgkFb8cCA/edit#gid=346597447"",""ขอนแก่น!J568"")"),0)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IFERROR(__xludf.DUMMYFUNCTION("IMPORTRANGE(""https://docs.google.com/spreadsheets/d/1XL5vhW3sbDhbH9Cz0tuDiY8C3ctxq1tqvaCgkFb8cCA/edit#gid=346597447"",""ขอนแก่น!J569"")"),0)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IFERROR(__xludf.DUMMYFUNCTION("IMPORTRANGE(""https://docs.google.com/spreadsheets/d/1XL5vhW3sbDhbH9Cz0tuDiY8C3ctxq1tqvaCgkFb8cCA/edit#gid=346597447"",""ขอนแก่น!J570"")"),0)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IFERROR(__xludf.DUMMYFUNCTION("IMPORTRANGE(""https://docs.google.com/spreadsheets/d/1XL5vhW3sbDhbH9Cz0tuDiY8C3ctxq1tqvaCgkFb8cCA/edit#gid=346597447"",""ขอนแก่น!J571"")"),0)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IFERROR(__xludf.DUMMYFUNCTION("IMPORTRANGE(""https://docs.google.com/spreadsheets/d/1XL5vhW3sbDhbH9Cz0tuDiY8C3ctxq1tqvaCgkFb8cCA/edit#gid=346597447"",""ขอนแก่น!J572"")"),0)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4257812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3" t="s">
        <v>15</v>
      </c>
      <c r="B7" s="648"/>
      <c r="C7" s="648"/>
      <c r="D7" s="648"/>
      <c r="E7" s="648"/>
      <c r="F7" s="648"/>
      <c r="G7" s="64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7990372</v>
      </c>
      <c r="M8" s="23">
        <f t="shared" ca="1" si="0"/>
        <v>4966662</v>
      </c>
      <c r="N8" s="23">
        <f t="shared" ca="1" si="0"/>
        <v>4672320.54</v>
      </c>
      <c r="O8" s="22">
        <f t="shared" ref="O8:O16" ca="1" si="1">IF(L8&gt;0,N8*100/L8,0)</f>
        <v>58.474380667132891</v>
      </c>
      <c r="P8" s="22">
        <f t="shared" ref="P8:P16" ca="1" si="2">IF(M8&gt;0,N8*100/M8,0)</f>
        <v>94.073656310818009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7990372</v>
      </c>
      <c r="M10" s="30">
        <f t="shared" ca="1" si="4"/>
        <v>4966662</v>
      </c>
      <c r="N10" s="30">
        <f t="shared" ca="1" si="4"/>
        <v>4672320.54</v>
      </c>
      <c r="O10" s="29">
        <f t="shared" ca="1" si="1"/>
        <v>58.474380667132891</v>
      </c>
      <c r="P10" s="29">
        <f t="shared" ca="1" si="2"/>
        <v>94.073656310818009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6524373</v>
      </c>
      <c r="M12" s="38">
        <f t="shared" ca="1" si="6"/>
        <v>3500663</v>
      </c>
      <c r="N12" s="38">
        <f t="shared" ca="1" si="6"/>
        <v>3206321.54</v>
      </c>
      <c r="O12" s="38">
        <f t="shared" ca="1" si="1"/>
        <v>49.143749751891868</v>
      </c>
      <c r="P12" s="38">
        <f t="shared" ca="1" si="2"/>
        <v>91.591836746353479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2863900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3660473</v>
      </c>
      <c r="M14" s="38">
        <f t="shared" si="8"/>
        <v>0</v>
      </c>
      <c r="N14" s="38">
        <f t="shared" ca="1" si="8"/>
        <v>435198.1</v>
      </c>
      <c r="O14" s="38">
        <f t="shared" ca="1" si="1"/>
        <v>11.889121979591161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1465999</v>
      </c>
      <c r="M16" s="38">
        <f t="shared" ca="1" si="10"/>
        <v>1465999</v>
      </c>
      <c r="N16" s="38">
        <f t="shared" ca="1" si="10"/>
        <v>1465999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3" t="s">
        <v>24</v>
      </c>
      <c r="B17" s="648"/>
      <c r="C17" s="648"/>
      <c r="D17" s="648"/>
      <c r="E17" s="648"/>
      <c r="F17" s="648"/>
      <c r="G17" s="64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5925889</v>
      </c>
      <c r="M18" s="23">
        <f t="shared" ca="1" si="11"/>
        <v>4966662</v>
      </c>
      <c r="N18" s="23">
        <f t="shared" ca="1" si="11"/>
        <v>4237122.4399999995</v>
      </c>
      <c r="O18" s="22">
        <f t="shared" ref="O18:O20" ca="1" si="12">IF(L18&gt;0,N18*100/L18,0)</f>
        <v>71.501886721131626</v>
      </c>
      <c r="P18" s="22">
        <f t="shared" ref="P18:P26" ca="1" si="13">IF(M18&gt;0,N18*100/M18,0)</f>
        <v>85.311270225354562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5925889</v>
      </c>
      <c r="M20" s="30">
        <f t="shared" ca="1" si="15"/>
        <v>4966662</v>
      </c>
      <c r="N20" s="30">
        <f t="shared" ca="1" si="15"/>
        <v>4237122.4399999995</v>
      </c>
      <c r="O20" s="29">
        <f t="shared" ca="1" si="12"/>
        <v>71.501886721131626</v>
      </c>
      <c r="P20" s="29">
        <f t="shared" ca="1" si="13"/>
        <v>85.311270225354562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4459890</v>
      </c>
      <c r="M22" s="41">
        <f t="shared" ca="1" si="18"/>
        <v>3500663</v>
      </c>
      <c r="N22" s="38">
        <f t="shared" ca="1" si="18"/>
        <v>2771123.44</v>
      </c>
      <c r="O22" s="38">
        <f t="shared" ca="1" si="17"/>
        <v>62.134345017478012</v>
      </c>
      <c r="P22" s="38">
        <f t="shared" ca="1" si="13"/>
        <v>79.159960270383067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2863900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1595990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1465999</v>
      </c>
      <c r="M26" s="49">
        <f t="shared" ca="1" si="22"/>
        <v>1465999</v>
      </c>
      <c r="N26" s="49">
        <f t="shared" ca="1" si="22"/>
        <v>1465999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3" t="s">
        <v>25</v>
      </c>
      <c r="B27" s="648"/>
      <c r="C27" s="648"/>
      <c r="D27" s="648"/>
      <c r="E27" s="648"/>
      <c r="F27" s="648"/>
      <c r="G27" s="64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2064483</v>
      </c>
      <c r="M28" s="23">
        <f t="shared" si="23"/>
        <v>0</v>
      </c>
      <c r="N28" s="23">
        <f t="shared" ca="1" si="23"/>
        <v>435198.1</v>
      </c>
      <c r="O28" s="22">
        <f t="shared" ref="O28:O30" ca="1" si="24">IF(L28&gt;0,N28*100/L28,0)</f>
        <v>21.080246240826394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2064483</v>
      </c>
      <c r="M30" s="30">
        <f t="shared" si="27"/>
        <v>0</v>
      </c>
      <c r="N30" s="30">
        <f t="shared" ca="1" si="27"/>
        <v>435198.1</v>
      </c>
      <c r="O30" s="29">
        <f t="shared" ca="1" si="24"/>
        <v>21.080246240826394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2064483</v>
      </c>
      <c r="M32" s="38">
        <f t="shared" si="30"/>
        <v>0</v>
      </c>
      <c r="N32" s="38">
        <f t="shared" ca="1" si="30"/>
        <v>435198.1</v>
      </c>
      <c r="O32" s="38">
        <f t="shared" ca="1" si="29"/>
        <v>21.080246240826394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2064483</v>
      </c>
      <c r="M34" s="38">
        <f t="shared" si="32"/>
        <v>0</v>
      </c>
      <c r="N34" s="38">
        <f t="shared" ca="1" si="32"/>
        <v>435198.1</v>
      </c>
      <c r="O34" s="38">
        <f t="shared" ca="1" si="29"/>
        <v>21.080246240826394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5925889</v>
      </c>
      <c r="M37" s="54">
        <f t="shared" ca="1" si="33"/>
        <v>4966662</v>
      </c>
      <c r="N37" s="54">
        <f t="shared" ca="1" si="33"/>
        <v>4237122.4399999995</v>
      </c>
      <c r="O37" s="55">
        <f t="shared" ca="1" si="29"/>
        <v>71.501886721131626</v>
      </c>
      <c r="P37" s="55">
        <f t="shared" ca="1" si="25"/>
        <v>85.311270225354562</v>
      </c>
    </row>
    <row r="38" spans="1:16" ht="21.75" customHeight="1" x14ac:dyDescent="0.3">
      <c r="A38" s="647" t="s">
        <v>27</v>
      </c>
      <c r="B38" s="648"/>
      <c r="C38" s="648"/>
      <c r="D38" s="648"/>
      <c r="E38" s="648"/>
      <c r="F38" s="648"/>
      <c r="G38" s="64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0" t="s">
        <v>28</v>
      </c>
      <c r="C39" s="641"/>
      <c r="D39" s="641"/>
      <c r="E39" s="641"/>
      <c r="F39" s="641"/>
      <c r="G39" s="64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2456799</v>
      </c>
      <c r="M41" s="78">
        <f t="shared" ca="1" si="34"/>
        <v>2209099</v>
      </c>
      <c r="N41" s="78">
        <f t="shared" ca="1" si="34"/>
        <v>2096702.44</v>
      </c>
      <c r="O41" s="77">
        <f t="shared" ref="O41:O43" ca="1" si="35">IF(L41&gt;0,N41*100/L41,0)</f>
        <v>85.342856293901136</v>
      </c>
      <c r="P41" s="77">
        <f t="shared" ref="P41:P43" ca="1" si="36">IF(M41&gt;0,N41*100/M41,0)</f>
        <v>94.912108511207506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2456799</v>
      </c>
      <c r="M43" s="78">
        <f t="shared" ca="1" si="38"/>
        <v>2209099</v>
      </c>
      <c r="N43" s="78">
        <f t="shared" ca="1" si="38"/>
        <v>2096702.44</v>
      </c>
      <c r="O43" s="77">
        <f t="shared" ca="1" si="35"/>
        <v>85.342856293901136</v>
      </c>
      <c r="P43" s="77">
        <f t="shared" ca="1" si="36"/>
        <v>94.912108511207506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IFERROR(__xludf.DUMMYFUNCTION("IMPORTRANGE(""https://docs.google.com/spreadsheets/d/1Yj_ptqi66GCucihVvJfMjLAmec39IyEx_6qawtMGysU/edit?usp=sharing"",""สบก!Q40"")"),743100)</f>
        <v>743100</v>
      </c>
      <c r="N45" s="49">
        <f ca="1">IFERROR(__xludf.DUMMYFUNCTION("IMPORTRANGE(""https://docs.google.com/spreadsheets/d/1Yj_ptqi66GCucihVvJfMjLAmec39IyEx_6qawtMGysU/edit?usp=sharing"",""สบก!R40"")"),630703.44)</f>
        <v>630703.43999999994</v>
      </c>
      <c r="O45" s="38">
        <f ca="1">IF(L45&gt;0,N45*100/L45,0)</f>
        <v>63.655979006863134</v>
      </c>
      <c r="P45" s="38">
        <f ca="1">IF(M45&gt;0,N45*100/M45,0)</f>
        <v>84.874638675817508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IFERROR(__xludf.DUMMYFUNCTION("IMPORTRANGE(""https://docs.google.com/spreadsheets/d/1Yj_ptqi66GCucihVvJfMjLAmec39IyEx_6qawtMGysU/edit?usp=sharing"",""สบก!O40"")"),1465999)</f>
        <v>1465999</v>
      </c>
      <c r="M49" s="49">
        <f ca="1">L49</f>
        <v>1465999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778800</v>
      </c>
      <c r="M53" s="121">
        <f t="shared" ca="1" si="39"/>
        <v>708208</v>
      </c>
      <c r="N53" s="121">
        <f t="shared" ca="1" si="39"/>
        <v>606363</v>
      </c>
      <c r="O53" s="120">
        <f t="shared" ref="O53:O55" ca="1" si="40">IF(L53&gt;0,N53*100/L53,0)</f>
        <v>77.858628659476111</v>
      </c>
      <c r="P53" s="120">
        <f t="shared" ref="P53:P55" ca="1" si="41">IF(M53&gt;0,N53*100/M53,0)</f>
        <v>85.619337821656913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778800</v>
      </c>
      <c r="M55" s="121">
        <f t="shared" ca="1" si="43"/>
        <v>708208</v>
      </c>
      <c r="N55" s="121">
        <f t="shared" ca="1" si="43"/>
        <v>606363</v>
      </c>
      <c r="O55" s="120">
        <f t="shared" ca="1" si="40"/>
        <v>77.858628659476111</v>
      </c>
      <c r="P55" s="120">
        <f t="shared" ca="1" si="41"/>
        <v>85.619337821656913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778800</v>
      </c>
      <c r="M57" s="49">
        <f ca="1">IFERROR(__xludf.DUMMYFUNCTION("IMPORTRANGE(""https://docs.google.com/spreadsheets/d/1Yj_ptqi66GCucihVvJfMjLAmec39IyEx_6qawtMGysU/edit?usp=sharing"",""สบก!Z40"")"),708208)</f>
        <v>708208</v>
      </c>
      <c r="N57" s="49">
        <f ca="1">IFERROR(__xludf.DUMMYFUNCTION("IMPORTRANGE(""https://docs.google.com/spreadsheets/d/1Yj_ptqi66GCucihVvJfMjLAmec39IyEx_6qawtMGysU/edit?usp=sharing"",""สบก!AA40"")"),606363)</f>
        <v>606363</v>
      </c>
      <c r="O57" s="38">
        <f ca="1">IF(L57&gt;0,N57*100/L57,0)</f>
        <v>77.858628659476111</v>
      </c>
      <c r="P57" s="38">
        <f ca="1">IF(M57&gt;0,N57*100/M57,0)</f>
        <v>85.619337821656913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IFERROR(__xludf.DUMMYFUNCTION("IMPORTRANGE(""https://docs.google.com/spreadsheets/d/1Yj_ptqi66GCucihVvJfMjLAmec39IyEx_6qawtMGysU/edit?usp=sharing"",""สบก!V40"")"),778800)</f>
        <v>778800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IFERROR(__xludf.DUMMYFUNCTION("IMPORTRANGE(""https://docs.google.com/spreadsheets/d/1XL5vhW3sbDhbH9Cz0tuDiY8C3ctxq1tqvaCgkFb8cCA/edit?usp=sharing"",""ชัยภูมิ!J50"")"),0)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21725</v>
      </c>
      <c r="O118" s="151">
        <f t="shared" ref="O118:O120" ca="1" si="59">IF(L118&gt;0,N118*100/L118,0)</f>
        <v>26.352498786996602</v>
      </c>
      <c r="P118" s="151">
        <f t="shared" ref="P118:P120" ca="1" si="60">IF(M118&gt;0,N118*100/M118,0)</f>
        <v>26.352498786996602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21725</v>
      </c>
      <c r="O120" s="156">
        <f t="shared" ca="1" si="59"/>
        <v>26.352498786996602</v>
      </c>
      <c r="P120" s="156">
        <f t="shared" ca="1" si="60"/>
        <v>26.352498786996602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IFERROR(__xludf.DUMMYFUNCTION("IMPORTRANGE(""https://docs.google.com/spreadsheets/d/1Yj_ptqi66GCucihVvJfMjLAmec39IyEx_6qawtMGysU/edit?usp=sharing"",""สบก!BA40"")"),82440)</f>
        <v>82440</v>
      </c>
      <c r="N122" s="169">
        <f ca="1">IFERROR(__xludf.DUMMYFUNCTION("IMPORTRANGE(""https://docs.google.com/spreadsheets/d/1Yj_ptqi66GCucihVvJfMjLAmec39IyEx_6qawtMGysU/edit?usp=sharing"",""สบก!BB40"")"),21725)</f>
        <v>21725</v>
      </c>
      <c r="O122" s="169">
        <f ca="1">IF(L122&gt;0,N122*100/L122,0)</f>
        <v>26.352498786996602</v>
      </c>
      <c r="P122" s="169">
        <f ca="1">IF(M122&gt;0,N122*100/M122,0)</f>
        <v>26.352498786996602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IFERROR(__xludf.DUMMYFUNCTION("IMPORTRANGE(""https://docs.google.com/spreadsheets/d/1Yj_ptqi66GCucihVvJfMjLAmec39IyEx_6qawtMGysU/edit?usp=sharing"",""สบก!AX40"")"),82440)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IFERROR(__xludf.DUMMYFUNCTION("IMPORTRANGE(""https://docs.google.com/spreadsheets/d/1XL5vhW3sbDhbH9Cz0tuDiY8C3ctxq1tqvaCgkFb8cCA/edit?usp=sharing"",""ชัยภูมิ!J65"")"),0)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IFERROR(__xludf.DUMMYFUNCTION("IMPORTRANGE(""https://docs.google.com/spreadsheets/d/1XL5vhW3sbDhbH9Cz0tuDiY8C3ctxq1tqvaCgkFb8cCA/edit?usp=sharing"",""ชัยภูมิ!I68"")"),0)</f>
        <v>0</v>
      </c>
      <c r="J138" s="267">
        <f ca="1">IFERROR(__xludf.DUMMYFUNCTION("IMPORTRANGE(""https://docs.google.com/spreadsheets/d/1XL5vhW3sbDhbH9Cz0tuDiY8C3ctxq1tqvaCgkFb8cCA/edit?usp=sharing"",""ชัยภูมิ!J68"")"),0)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61625</v>
      </c>
      <c r="N140" s="152">
        <f t="shared" ca="1" si="64"/>
        <v>2200</v>
      </c>
      <c r="O140" s="151">
        <f t="shared" ref="O140:O142" ca="1" si="65">IF(L140&gt;0,N140*100/L140,0)</f>
        <v>2.6506024096385543</v>
      </c>
      <c r="P140" s="151">
        <f t="shared" ref="P140:P142" ca="1" si="66">IF(M140&gt;0,N140*100/M140,0)</f>
        <v>3.5699797160243407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61625</v>
      </c>
      <c r="N142" s="157">
        <f t="shared" ca="1" si="68"/>
        <v>2200</v>
      </c>
      <c r="O142" s="156">
        <f t="shared" ca="1" si="65"/>
        <v>2.6506024096385543</v>
      </c>
      <c r="P142" s="156">
        <f t="shared" ca="1" si="66"/>
        <v>3.5699797160243407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IFERROR(__xludf.DUMMYFUNCTION("IMPORTRANGE(""https://docs.google.com/spreadsheets/d/1Yj_ptqi66GCucihVvJfMjLAmec39IyEx_6qawtMGysU/edit?usp=sharing"",""สบก!BJ40"")"),61625)</f>
        <v>61625</v>
      </c>
      <c r="N144" s="169">
        <f ca="1">IFERROR(__xludf.DUMMYFUNCTION("IMPORTRANGE(""https://docs.google.com/spreadsheets/d/1Yj_ptqi66GCucihVvJfMjLAmec39IyEx_6qawtMGysU/edit?usp=sharing"",""สบก!BK40"")"),2200)</f>
        <v>2200</v>
      </c>
      <c r="O144" s="169">
        <f ca="1">IF(L144&gt;0,N144*100/L144,0)</f>
        <v>2.6506024096385543</v>
      </c>
      <c r="P144" s="169">
        <f ca="1">IF(M144&gt;0,N144*100/M144,0)</f>
        <v>3.5699797160243407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IFERROR(__xludf.DUMMYFUNCTION("IMPORTRANGE(""https://docs.google.com/spreadsheets/d/1XL5vhW3sbDhbH9Cz0tuDiY8C3ctxq1tqvaCgkFb8cCA/edit?usp=sharing"",""ชัยภูมิ!I74"")"),4)</f>
        <v>4</v>
      </c>
      <c r="J149" s="275">
        <f ca="1">IFERROR(__xludf.DUMMYFUNCTION("IMPORTRANGE(""https://docs.google.com/spreadsheets/d/1XL5vhW3sbDhbH9Cz0tuDiY8C3ctxq1tqvaCgkFb8cCA/edit?usp=sharing"",""ชัยภูมิ!J74"")"),1)</f>
        <v>1</v>
      </c>
      <c r="K149" s="276">
        <f ca="1">IF(I149&gt;0,J149*100/I149,0)</f>
        <v>25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IFERROR(__xludf.DUMMYFUNCTION("IMPORTRANGE(""https://docs.google.com/spreadsheets/d/1XL5vhW3sbDhbH9Cz0tuDiY8C3ctxq1tqvaCgkFb8cCA/edit?usp=sharing"",""ชัยภูมิ!J88"")"),0)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IFERROR(__xludf.DUMMYFUNCTION("IMPORTRANGE(""https://docs.google.com/spreadsheets/d/1XL5vhW3sbDhbH9Cz0tuDiY8C3ctxq1tqvaCgkFb8cCA/edit?usp=sharing"",""ชัยภูมิ!I89"")"),4)</f>
        <v>4</v>
      </c>
      <c r="J164" s="284">
        <f ca="1">IFERROR(__xludf.DUMMYFUNCTION("IMPORTRANGE(""https://docs.google.com/spreadsheets/d/1XL5vhW3sbDhbH9Cz0tuDiY8C3ctxq1tqvaCgkFb8cCA/edit?usp=sharing"",""ชัยภูมิ!J89"")"),0)</f>
        <v>0</v>
      </c>
      <c r="K164" s="285">
        <f ca="1">IF(I164&gt;0,J164*100/I164,0)</f>
        <v>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IFERROR(__xludf.DUMMYFUNCTION("IMPORTRANGE(""https://docs.google.com/spreadsheets/d/1XL5vhW3sbDhbH9Cz0tuDiY8C3ctxq1tqvaCgkFb8cCA/edit?usp=sharing"",""ชัยภูมิ!J100"")"),0)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IFERROR(__xludf.DUMMYFUNCTION("IMPORTRANGE(""https://docs.google.com/spreadsheets/d/1XL5vhW3sbDhbH9Cz0tuDiY8C3ctxq1tqvaCgkFb8cCA/edit?usp=sharing"",""ชัยภูมิ!I101"")"),0)</f>
        <v>0</v>
      </c>
      <c r="J176" s="284">
        <f ca="1">IFERROR(__xludf.DUMMYFUNCTION("IMPORTRANGE(""https://docs.google.com/spreadsheets/d/1XL5vhW3sbDhbH9Cz0tuDiY8C3ctxq1tqvaCgkFb8cCA/edit?usp=sharing"",""ชัยภูมิ!J101"")"),0)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IFERROR(__xludf.DUMMYFUNCTION("IMPORTRANGE(""https://docs.google.com/spreadsheets/d/1XL5vhW3sbDhbH9Cz0tuDiY8C3ctxq1tqvaCgkFb8cCA/edit?usp=sharing"",""ชัยภูมิ!J113"")"),0)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IFERROR(__xludf.DUMMYFUNCTION("IMPORTRANGE(""https://docs.google.com/spreadsheets/d/1XL5vhW3sbDhbH9Cz0tuDiY8C3ctxq1tqvaCgkFb8cCA/edit?usp=sharing"",""ชัยภูมิ!I114"")"),50000)</f>
        <v>50000</v>
      </c>
      <c r="J189" s="284">
        <f ca="1">IFERROR(__xludf.DUMMYFUNCTION("IMPORTRANGE(""https://docs.google.com/spreadsheets/d/1XL5vhW3sbDhbH9Cz0tuDiY8C3ctxq1tqvaCgkFb8cCA/edit?usp=sharing"",""ชัยภูมิ!J114"")"),0)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IFERROR(__xludf.DUMMYFUNCTION("IMPORTRANGE(""https://docs.google.com/spreadsheets/d/1XL5vhW3sbDhbH9Cz0tuDiY8C3ctxq1tqvaCgkFb8cCA/edit?usp=sharing"",""ชัยภูมิ!J128"")"),0)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IFERROR(__xludf.DUMMYFUNCTION("IMPORTRANGE(""https://docs.google.com/spreadsheets/d/1XL5vhW3sbDhbH9Cz0tuDiY8C3ctxq1tqvaCgkFb8cCA/edit?usp=sharing"",""ชัยภูมิ!I129"")"),0)</f>
        <v>0</v>
      </c>
      <c r="J204" s="284">
        <f ca="1">IFERROR(__xludf.DUMMYFUNCTION("IMPORTRANGE(""https://docs.google.com/spreadsheets/d/1XL5vhW3sbDhbH9Cz0tuDiY8C3ctxq1tqvaCgkFb8cCA/edit?usp=sharing"",""ชัยภูมิ!J129"")"),0)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IFERROR(__xludf.DUMMYFUNCTION("IMPORTRANGE(""https://docs.google.com/spreadsheets/d/1XL5vhW3sbDhbH9Cz0tuDiY8C3ctxq1tqvaCgkFb8cCA/edit?usp=sharing"",""ชัยภูมิ!J143"")"),0)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IFERROR(__xludf.DUMMYFUNCTION("IMPORTRANGE(""https://docs.google.com/spreadsheets/d/1XL5vhW3sbDhbH9Cz0tuDiY8C3ctxq1tqvaCgkFb8cCA/edit?usp=sharing"",""ชัยภูมิ!I144"")"),12)</f>
        <v>12</v>
      </c>
      <c r="J219" s="267">
        <f ca="1">IFERROR(__xludf.DUMMYFUNCTION("IMPORTRANGE(""https://docs.google.com/spreadsheets/d/1XL5vhW3sbDhbH9Cz0tuDiY8C3ctxq1tqvaCgkFb8cCA/edit?usp=sharing"",""ชัยภูมิ!J144"")"),12)</f>
        <v>12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IFERROR(__xludf.DUMMYFUNCTION("IMPORTRANGE(""https://docs.google.com/spreadsheets/d/1XL5vhW3sbDhbH9Cz0tuDiY8C3ctxq1tqvaCgkFb8cCA/edit?usp=sharing"",""ชัยภูมิ!I149"")"),12)</f>
        <v>12</v>
      </c>
      <c r="J229" s="267">
        <f ca="1">IFERROR(__xludf.DUMMYFUNCTION("IMPORTRANGE(""https://docs.google.com/spreadsheets/d/1XL5vhW3sbDhbH9Cz0tuDiY8C3ctxq1tqvaCgkFb8cCA/edit?usp=sharing"",""ชัยภูมิ!J149"")"),12)</f>
        <v>12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IFERROR(__xludf.DUMMYFUNCTION("IMPORTRANGE(""https://docs.google.com/spreadsheets/d/1XL5vhW3sbDhbH9Cz0tuDiY8C3ctxq1tqvaCgkFb8cCA/edit?usp=sharing"",""ชัยภูมิ!J157"")"),1)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IFERROR(__xludf.DUMMYFUNCTION("IMPORTRANGE(""https://docs.google.com/spreadsheets/d/1XL5vhW3sbDhbH9Cz0tuDiY8C3ctxq1tqvaCgkFb8cCA/edit?usp=sharing"",""ชัยภูมิ!I158"")"),0)</f>
        <v>0</v>
      </c>
      <c r="J238" s="267">
        <f ca="1">IFERROR(__xludf.DUMMYFUNCTION("IMPORTRANGE(""https://docs.google.com/spreadsheets/d/1XL5vhW3sbDhbH9Cz0tuDiY8C3ctxq1tqvaCgkFb8cCA/edit?usp=sharing"",""ชัยภูมิ!J158"")"),0)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IFERROR(__xludf.DUMMYFUNCTION("IMPORTRANGE(""https://docs.google.com/spreadsheets/d/1XL5vhW3sbDhbH9Cz0tuDiY8C3ctxq1tqvaCgkFb8cCA/edit?usp=sharing"",""ชัยภูมิ!J166"")"),0)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IFERROR(__xludf.DUMMYFUNCTION("IMPORTRANGE(""https://docs.google.com/spreadsheets/d/1XL5vhW3sbDhbH9Cz0tuDiY8C3ctxq1tqvaCgkFb8cCA/edit?usp=sharing"",""ชัยภูมิ!I169"")"),0)</f>
        <v>0</v>
      </c>
      <c r="J249" s="316">
        <f ca="1">IFERROR(__xludf.DUMMYFUNCTION("IMPORTRANGE(""https://docs.google.com/spreadsheets/d/1XL5vhW3sbDhbH9Cz0tuDiY8C3ctxq1tqvaCgkFb8cCA/edit?usp=sharing"",""ชัยภูมิ!J169"")"),0)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IFERROR(__xludf.DUMMYFUNCTION("IMPORTRANGE(""https://docs.google.com/spreadsheets/d/1XL5vhW3sbDhbH9Cz0tuDiY8C3ctxq1tqvaCgkFb8cCA/edit?usp=sharing"",""ชัยภูมิ!J184"")"),0)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IFERROR(__xludf.DUMMYFUNCTION("IMPORTRANGE(""https://docs.google.com/spreadsheets/d/1XL5vhW3sbDhbH9Cz0tuDiY8C3ctxq1tqvaCgkFb8cCA/edit?usp=sharing"",""ชัยภูมิ!I185"")"),15)</f>
        <v>15</v>
      </c>
      <c r="J270" s="316">
        <f ca="1">IFERROR(__xludf.DUMMYFUNCTION("IMPORTRANGE(""https://docs.google.com/spreadsheets/d/1XL5vhW3sbDhbH9Cz0tuDiY8C3ctxq1tqvaCgkFb8cCA/edit?usp=sharing"",""ชัยภูมิ!J185"")"),15)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149980</v>
      </c>
      <c r="O271" s="151">
        <f t="shared" ref="O271:O273" ca="1" si="84">IF(L271&gt;0,N271*100/L271,0)</f>
        <v>46.986215538847119</v>
      </c>
      <c r="P271" s="151">
        <f t="shared" ref="P271:P273" ca="1" si="85">IF(M271&gt;0,N271*100/M271,0)</f>
        <v>65.137893593919657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319200</v>
      </c>
      <c r="M273" s="157">
        <f t="shared" ca="1" si="87"/>
        <v>230250</v>
      </c>
      <c r="N273" s="157">
        <f t="shared" ca="1" si="87"/>
        <v>149980</v>
      </c>
      <c r="O273" s="156">
        <f t="shared" ca="1" si="84"/>
        <v>46.986215538847119</v>
      </c>
      <c r="P273" s="156">
        <f t="shared" ca="1" si="85"/>
        <v>65.137893593919657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319200</v>
      </c>
      <c r="M275" s="168">
        <f ca="1">IFERROR(__xludf.DUMMYFUNCTION("IMPORTRANGE(""https://docs.google.com/spreadsheets/d/1Yj_ptqi66GCucihVvJfMjLAmec39IyEx_6qawtMGysU/edit?usp=sharing"",""สบก!CK40"")"),230250)</f>
        <v>230250</v>
      </c>
      <c r="N275" s="169">
        <f ca="1">IFERROR(__xludf.DUMMYFUNCTION("IMPORTRANGE(""https://docs.google.com/spreadsheets/d/1Yj_ptqi66GCucihVvJfMjLAmec39IyEx_6qawtMGysU/edit?usp=sharing"",""สบก!CL40"")"),149980)</f>
        <v>149980</v>
      </c>
      <c r="O275" s="169">
        <f ca="1">IF(L275&gt;0,N275*100/L275,0)</f>
        <v>46.986215538847119</v>
      </c>
      <c r="P275" s="169">
        <f ca="1">IF(M275&gt;0,N275*100/M275,0)</f>
        <v>65.137893593919657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IFERROR(__xludf.DUMMYFUNCTION("IMPORTRANGE(""https://docs.google.com/spreadsheets/d/1XL5vhW3sbDhbH9Cz0tuDiY8C3ctxq1tqvaCgkFb8cCA/edit?usp=sharing"",""ชัยภูมิ!J197"")"),0)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IFERROR(__xludf.DUMMYFUNCTION("IMPORTRANGE(""https://docs.google.com/spreadsheets/d/1XL5vhW3sbDhbH9Cz0tuDiY8C3ctxq1tqvaCgkFb8cCA/edit?usp=sharing"",""ชัยภูมิ!I199"")"),0)</f>
        <v>0</v>
      </c>
      <c r="J289" s="316">
        <f ca="1">IFERROR(__xludf.DUMMYFUNCTION("IMPORTRANGE(""https://docs.google.com/spreadsheets/d/1XL5vhW3sbDhbH9Cz0tuDiY8C3ctxq1tqvaCgkFb8cCA/edit?usp=sharing"",""ชัยภูมิ!J199"")"),0)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IFERROR(__xludf.DUMMYFUNCTION("IMPORTRANGE(""https://docs.google.com/spreadsheets/d/1XL5vhW3sbDhbH9Cz0tuDiY8C3ctxq1tqvaCgkFb8cCA/edit?usp=sharing"",""ชัยภูมิ!J213"")"),0)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IFERROR(__xludf.DUMMYFUNCTION("IMPORTRANGE(""https://docs.google.com/spreadsheets/d/1XL5vhW3sbDhbH9Cz0tuDiY8C3ctxq1tqvaCgkFb8cCA/edit?usp=sharing"",""ชัยภูมิ!I214"")"),0)</f>
        <v>0</v>
      </c>
      <c r="J309" s="333">
        <f ca="1">IFERROR(__xludf.DUMMYFUNCTION("IMPORTRANGE(""https://docs.google.com/spreadsheets/d/1XL5vhW3sbDhbH9Cz0tuDiY8C3ctxq1tqvaCgkFb8cCA/edit?usp=sharing"",""ชัยภูมิ!J214"")"),0)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IFERROR(__xludf.DUMMYFUNCTION("IMPORTRANGE(""https://docs.google.com/spreadsheets/d/1XL5vhW3sbDhbH9Cz0tuDiY8C3ctxq1tqvaCgkFb8cCA/edit?usp=sharing"",""ชัยภูมิ!J226"")"),0)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IFERROR(__xludf.DUMMYFUNCTION("IMPORTRANGE(""https://docs.google.com/spreadsheets/d/1XL5vhW3sbDhbH9Cz0tuDiY8C3ctxq1tqvaCgkFb8cCA/edit?usp=sharing"",""ชัยภูมิ!I228"")"),920)</f>
        <v>920</v>
      </c>
      <c r="J328" s="339">
        <f ca="1">IFERROR(__xludf.DUMMYFUNCTION("IMPORTRANGE(""https://docs.google.com/spreadsheets/d/1XL5vhW3sbDhbH9Cz0tuDiY8C3ctxq1tqvaCgkFb8cCA/edit?usp=sharing"",""ชัยภูมิ!J228"")"),98)</f>
        <v>98</v>
      </c>
      <c r="K328" s="317">
        <f ca="1">IF(I328&gt;0,J328*100/I328,0)</f>
        <v>10.652173913043478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2187270</v>
      </c>
      <c r="M329" s="152">
        <f t="shared" ca="1" si="98"/>
        <v>1656660</v>
      </c>
      <c r="N329" s="152">
        <f t="shared" ca="1" si="98"/>
        <v>1341772</v>
      </c>
      <c r="O329" s="151">
        <f t="shared" ref="O329:O331" ca="1" si="99">IF(L329&gt;0,N329*100/L329,0)</f>
        <v>61.344598517787013</v>
      </c>
      <c r="P329" s="151">
        <f t="shared" ref="P329:P331" ca="1" si="100">IF(M329&gt;0,N329*100/M329,0)</f>
        <v>80.992599567805101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2187270</v>
      </c>
      <c r="M331" s="157">
        <f t="shared" ca="1" si="102"/>
        <v>1656660</v>
      </c>
      <c r="N331" s="157">
        <f t="shared" ca="1" si="102"/>
        <v>1341772</v>
      </c>
      <c r="O331" s="156">
        <f t="shared" ca="1" si="99"/>
        <v>61.344598517787013</v>
      </c>
      <c r="P331" s="156">
        <f t="shared" ca="1" si="100"/>
        <v>80.992599567805101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2187270</v>
      </c>
      <c r="M333" s="168">
        <f ca="1">IFERROR(__xludf.DUMMYFUNCTION("IMPORTRANGE(""https://docs.google.com/spreadsheets/d/1Yj_ptqi66GCucihVvJfMjLAmec39IyEx_6qawtMGysU/edit?usp=sharing"",""สบก!DL40"")"),1656660)</f>
        <v>1656660</v>
      </c>
      <c r="N333" s="169">
        <f ca="1">IFERROR(__xludf.DUMMYFUNCTION("IMPORTRANGE(""https://docs.google.com/spreadsheets/d/1Yj_ptqi66GCucihVvJfMjLAmec39IyEx_6qawtMGysU/edit?usp=sharing"",""สบก!DM40"")"),1341772)</f>
        <v>1341772</v>
      </c>
      <c r="O333" s="169">
        <f ca="1">IF(L333&gt;0,N333*100/L333,0)</f>
        <v>61.344598517787013</v>
      </c>
      <c r="P333" s="169">
        <f ca="1">IF(M333&gt;0,N333*100/M333,0)</f>
        <v>80.992599567805101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IFERROR(__xludf.DUMMYFUNCTION("IMPORTRANGE(""https://docs.google.com/spreadsheets/d/1Yj_ptqi66GCucihVvJfMjLAmec39IyEx_6qawtMGysU/edit?usp=sharing"",""สบก!DI40"")"),1356970)</f>
        <v>1356970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IFERROR(__xludf.DUMMYFUNCTION("IMPORTRANGE(""https://docs.google.com/spreadsheets/d/1XL5vhW3sbDhbH9Cz0tuDiY8C3ctxq1tqvaCgkFb8cCA/edit?usp=sharing"",""ชัยภูมิ!J234"")"),458)</f>
        <v>458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IFERROR(__xludf.DUMMYFUNCTION("IMPORTRANGE(""https://docs.google.com/spreadsheets/d/1XL5vhW3sbDhbH9Cz0tuDiY8C3ctxq1tqvaCgkFb8cCA/edit?usp=sharing"",""ชัยภูมิ!J235"")"),4539.87)</f>
        <v>4539.87</v>
      </c>
      <c r="K340" s="342">
        <f t="shared" ca="1" si="103"/>
        <v>41.271545454545453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IFERROR(__xludf.DUMMYFUNCTION("IMPORTRANGE(""https://docs.google.com/spreadsheets/d/1XL5vhW3sbDhbH9Cz0tuDiY8C3ctxq1tqvaCgkFb8cCA/edit?usp=sharing"",""ชัยภูมิ!J236"")"),270)</f>
        <v>270</v>
      </c>
      <c r="K341" s="342">
        <f t="shared" ca="1" si="103"/>
        <v>29.347826086956523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IFERROR(__xludf.DUMMYFUNCTION("IMPORTRANGE(""https://docs.google.com/spreadsheets/d/1XL5vhW3sbDhbH9Cz0tuDiY8C3ctxq1tqvaCgkFb8cCA/edit?usp=sharing"",""ชัยภูมิ!J237"")"),3515.34)</f>
        <v>3515.34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IFERROR(__xludf.DUMMYFUNCTION("IMPORTRANGE(""https://docs.google.com/spreadsheets/d/1XL5vhW3sbDhbH9Cz0tuDiY8C3ctxq1tqvaCgkFb8cCA/edit?usp=sharing"",""ชัยภูมิ!J240"")"),98)</f>
        <v>98</v>
      </c>
      <c r="K345" s="342">
        <f t="shared" ca="1" si="103"/>
        <v>10.652173913043478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IFERROR(__xludf.DUMMYFUNCTION("IMPORTRANGE(""https://docs.google.com/spreadsheets/d/1XL5vhW3sbDhbH9Cz0tuDiY8C3ctxq1tqvaCgkFb8cCA/edit?usp=sharing"",""ชัยภูมิ!J241"")"),1618.19)</f>
        <v>1618.19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IFERROR(__xludf.DUMMYFUNCTION("IMPORTRANGE(""https://docs.google.com/spreadsheets/d/1XL5vhW3sbDhbH9Cz0tuDiY8C3ctxq1tqvaCgkFb8cCA/edit?usp=sharing"",""ชัยภูมิ!L242"")"),2064483)</f>
        <v>2064483</v>
      </c>
      <c r="M347" s="358"/>
      <c r="N347" s="358">
        <f ca="1">IFERROR(__xludf.DUMMYFUNCTION("IMPORTRANGE(""https://docs.google.com/spreadsheets/d/1XL5vhW3sbDhbH9Cz0tuDiY8C3ctxq1tqvaCgkFb8cCA/edit?usp=sharing"",""ชัยภูมิ!M242"")"),435198.1)</f>
        <v>435198.1</v>
      </c>
      <c r="O347" s="358">
        <f ca="1">+IF(L347&gt;0,N347*100/L347,0)</f>
        <v>21.080246240826394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IFERROR(__xludf.DUMMYFUNCTION("IMPORTRANGE(""https://docs.google.com/spreadsheets/d/1XL5vhW3sbDhbH9Cz0tuDiY8C3ctxq1tqvaCgkFb8cCA/edit?usp=sharing"",""ชัยภูมิ!M275"")"),96967)</f>
        <v>96967</v>
      </c>
      <c r="O380" s="373">
        <f ca="1">+IF(L380&gt;0,N380*100/L380,0)</f>
        <v>9.4278186131528798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IFERROR(__xludf.DUMMYFUNCTION("IMPORTRANGE(""https://docs.google.com/spreadsheets/d/1XL5vhW3sbDhbH9Cz0tuDiY8C3ctxq1tqvaCgkFb8cCA/edit?usp=sharing"",""ชัยภูมิ!M278"")"),96967)</f>
        <v>96967</v>
      </c>
      <c r="O383" s="165">
        <f t="shared" ca="1" si="109"/>
        <v>9.4278186131528798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IFERROR(__xludf.DUMMYFUNCTION("IMPORTRANGE(""https://docs.google.com/spreadsheets/d/1XL5vhW3sbDhbH9Cz0tuDiY8C3ctxq1tqvaCgkFb8cCA/edit?usp=sharing"",""ชัยภูมิ!M280"")"),96967)</f>
        <v>96967</v>
      </c>
      <c r="O385" s="169">
        <f t="shared" ca="1" si="109"/>
        <v>9.4278186131528798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IFERROR(__xludf.DUMMYFUNCTION("IMPORTRANGE(""https://docs.google.com/spreadsheets/d/1XL5vhW3sbDhbH9Cz0tuDiY8C3ctxq1tqvaCgkFb8cCA/edit?usp=sharing"",""ชัยภูมิ!M281"")"),40398)</f>
        <v>40398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IFERROR(__xludf.DUMMYFUNCTION("IMPORTRANGE(""https://docs.google.com/spreadsheets/d/1XL5vhW3sbDhbH9Cz0tuDiY8C3ctxq1tqvaCgkFb8cCA/edit?usp=sharing"",""ชัยภูมิ!M283"")"),48529)</f>
        <v>48529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IFERROR(__xludf.DUMMYFUNCTION("IMPORTRANGE(""https://docs.google.com/spreadsheets/d/1XL5vhW3sbDhbH9Cz0tuDiY8C3ctxq1tqvaCgkFb8cCA/edit?usp=sharing"",""ชัยภูมิ!M284"")"),8040)</f>
        <v>8040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IFERROR(__xludf.DUMMYFUNCTION("IMPORTRANGE(""https://docs.google.com/spreadsheets/d/1XL5vhW3sbDhbH9Cz0tuDiY8C3ctxq1tqvaCgkFb8cCA/edit?usp=sharing"",""ชัยภูมิ!J295"")"),0)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IFERROR(__xludf.DUMMYFUNCTION("IMPORTRANGE(""https://docs.google.com/spreadsheets/d/1XL5vhW3sbDhbH9Cz0tuDiY8C3ctxq1tqvaCgkFb8cCA/edit?usp=sharing"",""ชัยภูมิ!M296"")"),56450)</f>
        <v>56450</v>
      </c>
      <c r="O401" s="373">
        <f ca="1">+IF(L401&gt;0,N401*100/L401,0)</f>
        <v>55.386577708006278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IFERROR(__xludf.DUMMYFUNCTION("IMPORTRANGE(""https://docs.google.com/spreadsheets/d/1XL5vhW3sbDhbH9Cz0tuDiY8C3ctxq1tqvaCgkFb8cCA/edit?usp=sharing"",""ชัยภูมิ!M299"")"),56450)</f>
        <v>56450</v>
      </c>
      <c r="O404" s="169">
        <f t="shared" ca="1" si="112"/>
        <v>55.386577708006278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IFERROR(__xludf.DUMMYFUNCTION("IMPORTRANGE(""https://docs.google.com/spreadsheets/d/1XL5vhW3sbDhbH9Cz0tuDiY8C3ctxq1tqvaCgkFb8cCA/edit?usp=sharing"",""ชัยภูมิ!M301"")"),56450)</f>
        <v>56450</v>
      </c>
      <c r="O406" s="169">
        <f t="shared" ca="1" si="112"/>
        <v>55.386577708006278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IFERROR(__xludf.DUMMYFUNCTION("IMPORTRANGE(""https://docs.google.com/spreadsheets/d/1XL5vhW3sbDhbH9Cz0tuDiY8C3ctxq1tqvaCgkFb8cCA/edit?usp=sharing"",""ชัยภูมิ!M302"")"),6390)</f>
        <v>6390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IFERROR(__xludf.DUMMYFUNCTION("IMPORTRANGE(""https://docs.google.com/spreadsheets/d/1XL5vhW3sbDhbH9Cz0tuDiY8C3ctxq1tqvaCgkFb8cCA/edit?usp=sharing"",""ชัยภูมิ!M305"")"),50060)</f>
        <v>50060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IFERROR(__xludf.DUMMYFUNCTION("IMPORTRANGE(""https://docs.google.com/spreadsheets/d/1XL5vhW3sbDhbH9Cz0tuDiY8C3ctxq1tqvaCgkFb8cCA/edit?usp=sharing"",""ชัยภูมิ!J329"")"),0)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IFERROR(__xludf.DUMMYFUNCTION("IMPORTRANGE(""https://docs.google.com/spreadsheets/d/1XL5vhW3sbDhbH9Cz0tuDiY8C3ctxq1tqvaCgkFb8cCA/edit?usp=sharing"",""ชัยภูมิ!M330"")"),72798)</f>
        <v>72798</v>
      </c>
      <c r="O435" s="412">
        <f t="shared" ref="O435:O439" ca="1" si="114">+IF(L435&gt;0,N435*100/L435,0)</f>
        <v>68.677358490566036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IFERROR(__xludf.DUMMYFUNCTION("IMPORTRANGE(""https://docs.google.com/spreadsheets/d/1XL5vhW3sbDhbH9Cz0tuDiY8C3ctxq1tqvaCgkFb8cCA/edit?usp=sharing"",""ชัยภูมิ!M332"")"),72798)</f>
        <v>72798</v>
      </c>
      <c r="O437" s="169">
        <f t="shared" ca="1" si="114"/>
        <v>68.677358490566036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IFERROR(__xludf.DUMMYFUNCTION("IMPORTRANGE(""https://docs.google.com/spreadsheets/d/1XL5vhW3sbDhbH9Cz0tuDiY8C3ctxq1tqvaCgkFb8cCA/edit?usp=sharing"",""ชัยภูมิ!M334"")"),72798)</f>
        <v>72798</v>
      </c>
      <c r="O439" s="169">
        <f t="shared" ca="1" si="114"/>
        <v>68.677358490566036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IFERROR(__xludf.DUMMYFUNCTION("IMPORTRANGE(""https://docs.google.com/spreadsheets/d/1XL5vhW3sbDhbH9Cz0tuDiY8C3ctxq1tqvaCgkFb8cCA/edit?usp=sharing"",""ชัยภูมิ!M338"")"),67798)</f>
        <v>67798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IFERROR(__xludf.DUMMYFUNCTION("IMPORTRANGE(""https://docs.google.com/spreadsheets/d/1XL5vhW3sbDhbH9Cz0tuDiY8C3ctxq1tqvaCgkFb8cCA/edit?usp=sharing"",""ชัยภูมิ!J349"")"),0)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IFERROR(__xludf.DUMMYFUNCTION("IMPORTRANGE(""https://docs.google.com/spreadsheets/d/1XL5vhW3sbDhbH9Cz0tuDiY8C3ctxq1tqvaCgkFb8cCA/edit?usp=sharing"",""ชัยภูมิ!L350"")"),610203)</f>
        <v>610203</v>
      </c>
      <c r="M455" s="373"/>
      <c r="N455" s="373">
        <f ca="1">IFERROR(__xludf.DUMMYFUNCTION("IMPORTRANGE(""https://docs.google.com/spreadsheets/d/1XL5vhW3sbDhbH9Cz0tuDiY8C3ctxq1tqvaCgkFb8cCA/edit?usp=sharing"",""ชัยภูมิ!M350"")"),159311.1)</f>
        <v>159311.1</v>
      </c>
      <c r="O455" s="373">
        <f t="shared" ref="O455:O459" ca="1" si="116">+IF(L455&gt;0,N455*100/L455,0)</f>
        <v>26.107885408626309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IFERROR(__xludf.DUMMYFUNCTION("IMPORTRANGE(""https://docs.google.com/spreadsheets/d/1XL5vhW3sbDhbH9Cz0tuDiY8C3ctxq1tqvaCgkFb8cCA/edit?usp=sharing"",""ชัยภูมิ!L352"")"),610203)</f>
        <v>610203</v>
      </c>
      <c r="M457" s="165"/>
      <c r="N457" s="169">
        <f ca="1">IFERROR(__xludf.DUMMYFUNCTION("IMPORTRANGE(""https://docs.google.com/spreadsheets/d/1XL5vhW3sbDhbH9Cz0tuDiY8C3ctxq1tqvaCgkFb8cCA/edit?usp=sharing"",""ชัยภูมิ!M352"")"),159311.1)</f>
        <v>159311.1</v>
      </c>
      <c r="O457" s="169">
        <f t="shared" ca="1" si="116"/>
        <v>26.107885408626309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IFERROR(__xludf.DUMMYFUNCTION("IMPORTRANGE(""https://docs.google.com/spreadsheets/d/1XL5vhW3sbDhbH9Cz0tuDiY8C3ctxq1tqvaCgkFb8cCA/edit?usp=sharing"",""ชัยภูมิ!L354"")"),610203)</f>
        <v>610203</v>
      </c>
      <c r="M459" s="169"/>
      <c r="N459" s="169">
        <f ca="1">IFERROR(__xludf.DUMMYFUNCTION("IMPORTRANGE(""https://docs.google.com/spreadsheets/d/1XL5vhW3sbDhbH9Cz0tuDiY8C3ctxq1tqvaCgkFb8cCA/edit?usp=sharing"",""ชัยภูมิ!M354"")"),159311.1)</f>
        <v>159311.1</v>
      </c>
      <c r="O459" s="169">
        <f t="shared" ca="1" si="116"/>
        <v>26.107885408626309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IFERROR(__xludf.DUMMYFUNCTION("IMPORTRANGE(""https://docs.google.com/spreadsheets/d/1XL5vhW3sbDhbH9Cz0tuDiY8C3ctxq1tqvaCgkFb8cCA/edit?usp=sharing"",""ชัยภูมิ!M358"")"),159311.1)</f>
        <v>159311.1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IFERROR(__xludf.DUMMYFUNCTION("IMPORTRANGE(""https://docs.google.com/spreadsheets/d/1XL5vhW3sbDhbH9Cz0tuDiY8C3ctxq1tqvaCgkFb8cCA/edit?usp=sharing"",""ชัยภูมิ!I359"")"),60118)</f>
        <v>60118</v>
      </c>
      <c r="J464" s="267">
        <f ca="1">IFERROR(__xludf.DUMMYFUNCTION("IMPORTRANGE(""https://docs.google.com/spreadsheets/d/1XL5vhW3sbDhbH9Cz0tuDiY8C3ctxq1tqvaCgkFb8cCA/edit?usp=sharing"",""ชัยภูมิ!J359"")"),60119)</f>
        <v>60119</v>
      </c>
      <c r="K464" s="268">
        <f t="shared" ref="K464:K515" ca="1" si="117">IF(I464&gt;0,J464*100/I464,0)</f>
        <v>100.00166339532254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IFERROR(__xludf.DUMMYFUNCTION("IMPORTRANGE(""https://docs.google.com/spreadsheets/d/1XL5vhW3sbDhbH9Cz0tuDiY8C3ctxq1tqvaCgkFb8cCA/edit?usp=sharing"",""ชัยภูมิ!I411"")"),0)</f>
        <v>0</v>
      </c>
      <c r="J516" s="267">
        <f ca="1">IFERROR(__xludf.DUMMYFUNCTION("IMPORTRANGE(""https://docs.google.com/spreadsheets/d/1XL5vhW3sbDhbH9Cz0tuDiY8C3ctxq1tqvaCgkFb8cCA/edit?usp=sharing"",""ชัยภูมิ!J411"")"),0)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IFERROR(__xludf.DUMMYFUNCTION("IMPORTRANGE(""https://docs.google.com/spreadsheets/d/1XL5vhW3sbDhbH9Cz0tuDiY8C3ctxq1tqvaCgkFb8cCA/edit?usp=sharing"",""ชัยภูมิ!I412"")"),0)</f>
        <v>0</v>
      </c>
      <c r="J517" s="284">
        <f ca="1">IFERROR(__xludf.DUMMYFUNCTION("IMPORTRANGE(""https://docs.google.com/spreadsheets/d/1XL5vhW3sbDhbH9Cz0tuDiY8C3ctxq1tqvaCgkFb8cCA/edit?usp=sharing"",""ชัยภูมิ!J412"")"),0)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IFERROR(__xludf.DUMMYFUNCTION("IMPORTRANGE(""https://docs.google.com/spreadsheets/d/1XL5vhW3sbDhbH9Cz0tuDiY8C3ctxq1tqvaCgkFb8cCA/edit?usp=sharing"",""ชัยภูมิ!I413"")"),0)</f>
        <v>0</v>
      </c>
      <c r="J518" s="284">
        <f ca="1">IFERROR(__xludf.DUMMYFUNCTION("IMPORTRANGE(""https://docs.google.com/spreadsheets/d/1XL5vhW3sbDhbH9Cz0tuDiY8C3ctxq1tqvaCgkFb8cCA/edit?usp=sharing"",""ชัยภูมิ!J413"")"),0)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IFERROR(__xludf.DUMMYFUNCTION("IMPORTRANGE(""https://docs.google.com/spreadsheets/d/1XL5vhW3sbDhbH9Cz0tuDiY8C3ctxq1tqvaCgkFb8cCA/edit?usp=sharing"",""ชัยภูมิ!I420"")"),0)</f>
        <v>0</v>
      </c>
      <c r="J525" s="284">
        <f ca="1">IFERROR(__xludf.DUMMYFUNCTION("IMPORTRANGE(""https://docs.google.com/spreadsheets/d/1XL5vhW3sbDhbH9Cz0tuDiY8C3ctxq1tqvaCgkFb8cCA/edit?usp=sharing"",""ชัยภูมิ!J420"")"),0)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IFERROR(__xludf.DUMMYFUNCTION("IMPORTRANGE(""https://docs.google.com/spreadsheets/d/1XL5vhW3sbDhbH9Cz0tuDiY8C3ctxq1tqvaCgkFb8cCA/edit?usp=sharing"",""ชัยภูมิ!I421"")"),0)</f>
        <v>0</v>
      </c>
      <c r="J526" s="284">
        <f ca="1">IFERROR(__xludf.DUMMYFUNCTION("IMPORTRANGE(""https://docs.google.com/spreadsheets/d/1XL5vhW3sbDhbH9Cz0tuDiY8C3ctxq1tqvaCgkFb8cCA/edit?usp=sharing"",""ชัยภูมิ!J421"")"),0)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IFERROR(__xludf.DUMMYFUNCTION("IMPORTRANGE(""https://docs.google.com/spreadsheets/d/1XL5vhW3sbDhbH9Cz0tuDiY8C3ctxq1tqvaCgkFb8cCA/edit?usp=sharing"",""ชัยภูมิ!M428"")"),27634)</f>
        <v>27634</v>
      </c>
      <c r="O533" s="412">
        <f t="shared" ref="O533:O537" ca="1" si="118">+IF(L533&gt;0,N533*100/L533,0)</f>
        <v>73.222045574986751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IFERROR(__xludf.DUMMYFUNCTION("IMPORTRANGE(""https://docs.google.com/spreadsheets/d/1XL5vhW3sbDhbH9Cz0tuDiY8C3ctxq1tqvaCgkFb8cCA/edit?usp=sharing"",""ชัยภูมิ!L430"")"),37740)</f>
        <v>37740</v>
      </c>
      <c r="M535" s="165"/>
      <c r="N535" s="169">
        <f ca="1">IFERROR(__xludf.DUMMYFUNCTION("IMPORTRANGE(""https://docs.google.com/spreadsheets/d/1XL5vhW3sbDhbH9Cz0tuDiY8C3ctxq1tqvaCgkFb8cCA/edit?usp=sharing"",""ชัยภูมิ!M430"")"),27634)</f>
        <v>27634</v>
      </c>
      <c r="O535" s="169">
        <f t="shared" ca="1" si="118"/>
        <v>73.222045574986751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IFERROR(__xludf.DUMMYFUNCTION("IMPORTRANGE(""https://docs.google.com/spreadsheets/d/1XL5vhW3sbDhbH9Cz0tuDiY8C3ctxq1tqvaCgkFb8cCA/edit?usp=sharing"",""ชัยภูมิ!L432"")"),37740)</f>
        <v>37740</v>
      </c>
      <c r="M537" s="169"/>
      <c r="N537" s="169">
        <f ca="1">IFERROR(__xludf.DUMMYFUNCTION("IMPORTRANGE(""https://docs.google.com/spreadsheets/d/1XL5vhW3sbDhbH9Cz0tuDiY8C3ctxq1tqvaCgkFb8cCA/edit?usp=sharing"",""ชัยภูมิ!M432"")"),27634)</f>
        <v>27634</v>
      </c>
      <c r="O537" s="169">
        <f t="shared" ca="1" si="118"/>
        <v>73.222045574986751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IFERROR(__xludf.DUMMYFUNCTION("IMPORTRANGE(""https://docs.google.com/spreadsheets/d/1XL5vhW3sbDhbH9Cz0tuDiY8C3ctxq1tqvaCgkFb8cCA/edit?usp=sharing"",""ชัยภูมิ!M434"")"),18090)</f>
        <v>18090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IFERROR(__xludf.DUMMYFUNCTION("IMPORTRANGE(""https://docs.google.com/spreadsheets/d/1XL5vhW3sbDhbH9Cz0tuDiY8C3ctxq1tqvaCgkFb8cCA/edit?usp=sharing"",""ชัยภูมิ!M436"")"),9544)</f>
        <v>9544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IFERROR(__xludf.DUMMYFUNCTION("IMPORTRANGE(""https://docs.google.com/spreadsheets/d/1XL5vhW3sbDhbH9Cz0tuDiY8C3ctxq1tqvaCgkFb8cCA/edit?usp=sharing"",""ชัยภูมิ!J459"")"),4971)</f>
        <v>4971</v>
      </c>
      <c r="K564" s="372">
        <f ca="1">IF(I564&gt;0,J564*100/I564,0)</f>
        <v>108.06521739130434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IFERROR(__xludf.DUMMYFUNCTION("IMPORTRANGE(""https://docs.google.com/spreadsheets/d/1XL5vhW3sbDhbH9Cz0tuDiY8C3ctxq1tqvaCgkFb8cCA/edit?usp=sharing"",""ชัยภูมิ!M459"")"),21318)</f>
        <v>21318</v>
      </c>
      <c r="O564" s="373">
        <f t="shared" ref="O564:O568" ca="1" si="122">+IF(L564&gt;0,N564*100/L564,0)</f>
        <v>12.336805555555555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IFERROR(__xludf.DUMMYFUNCTION("IMPORTRANGE(""https://docs.google.com/spreadsheets/d/1XL5vhW3sbDhbH9Cz0tuDiY8C3ctxq1tqvaCgkFb8cCA/edit?usp=sharing"",""ชัยภูมิ!M461"")"),21318)</f>
        <v>21318</v>
      </c>
      <c r="O566" s="169">
        <f t="shared" ca="1" si="122"/>
        <v>12.336805555555555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IFERROR(__xludf.DUMMYFUNCTION("IMPORTRANGE(""https://docs.google.com/spreadsheets/d/1XL5vhW3sbDhbH9Cz0tuDiY8C3ctxq1tqvaCgkFb8cCA/edit?usp=sharing"",""ชัยภูมิ!M463"")"),21318)</f>
        <v>21318</v>
      </c>
      <c r="O568" s="169">
        <f t="shared" ca="1" si="122"/>
        <v>12.336805555555555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IFERROR(__xludf.DUMMYFUNCTION("IMPORTRANGE(""https://docs.google.com/spreadsheets/d/1XL5vhW3sbDhbH9Cz0tuDiY8C3ctxq1tqvaCgkFb8cCA/edit?usp=sharing"",""ชัยภูมิ!M466"")"),11000)</f>
        <v>11000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IFERROR(__xludf.DUMMYFUNCTION("IMPORTRANGE(""https://docs.google.com/spreadsheets/d/1XL5vhW3sbDhbH9Cz0tuDiY8C3ctxq1tqvaCgkFb8cCA/edit?usp=sharing"",""ชัยภูมิ!M467"")"),10318)</f>
        <v>10318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IFERROR(__xludf.DUMMYFUNCTION("IMPORTRANGE(""https://docs.google.com/spreadsheets/d/1XL5vhW3sbDhbH9Cz0tuDiY8C3ctxq1tqvaCgkFb8cCA/edit?usp=sharing"",""ชัยภูมิ!J468"")"),4971)</f>
        <v>4971</v>
      </c>
      <c r="K573" s="202">
        <f ca="1">IF(I573&gt;0,J573*100/I573,0)</f>
        <v>108.06521739130434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IFERROR(__xludf.DUMMYFUNCTION("IMPORTRANGE(""https://docs.google.com/spreadsheets/d/1XL5vhW3sbDhbH9Cz0tuDiY8C3ctxq1tqvaCgkFb8cCA/edit?usp=sharing"",""ชัยภูมิ!J470"")"),0)</f>
        <v>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IFERROR(__xludf.DUMMYFUNCTION("IMPORTRANGE(""https://docs.google.com/spreadsheets/d/1XL5vhW3sbDhbH9Cz0tuDiY8C3ctxq1tqvaCgkFb8cCA/edit?usp=sharing"",""ชัยภูมิ!J471"")"),34)</f>
        <v>34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IFERROR(__xludf.DUMMYFUNCTION("IMPORTRANGE(""https://docs.google.com/spreadsheets/d/1XL5vhW3sbDhbH9Cz0tuDiY8C3ctxq1tqvaCgkFb8cCA/edit?usp=sharing"",""ชัยภูมิ!J472"")"),4937)</f>
        <v>4937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IFERROR(__xludf.DUMMYFUNCTION("IMPORTRANGE(""https://docs.google.com/spreadsheets/d/1XL5vhW3sbDhbH9Cz0tuDiY8C3ctxq1tqvaCgkFb8cCA/edit?usp=sharing"",""ชัยภูมิ!J486"")"),21)</f>
        <v>21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IFERROR(__xludf.DUMMYFUNCTION("IMPORTRANGE(""https://docs.google.com/spreadsheets/d/1XL5vhW3sbDhbH9Cz0tuDiY8C3ctxq1tqvaCgkFb8cCA/edit?usp=sharing"",""ชัยภูมิ!J487"")"),12)</f>
        <v>12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IFERROR(__xludf.DUMMYFUNCTION("IMPORTRANGE(""https://docs.google.com/spreadsheets/d/1XL5vhW3sbDhbH9Cz0tuDiY8C3ctxq1tqvaCgkFb8cCA/edit?usp=sharing"",""ชัยภูมิ!I491"")"),0)</f>
        <v>0</v>
      </c>
      <c r="J596" s="241">
        <f ca="1">IFERROR(__xludf.DUMMYFUNCTION("IMPORTRANGE(""https://docs.google.com/spreadsheets/d/1XL5vhW3sbDhbH9Cz0tuDiY8C3ctxq1tqvaCgkFb8cCA/edit?usp=sharing"",""ชัยภูมิ!J491"")"),11.09)</f>
        <v>11.09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7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IFERROR(__xludf.DUMMYFUNCTION("IMPORTRANGE(""https://docs.google.com/spreadsheets/d/1XL5vhW3sbDhbH9Cz0tuDiY8C3ctxq1tqvaCgkFb8cCA/edit?usp=sharing"",""ชัยภูมิ!L492"")"),7300)</f>
        <v>7300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9.8630136986301373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IFERROR(__xludf.DUMMYFUNCTION("IMPORTRANGE(""https://docs.google.com/spreadsheets/d/1XL5vhW3sbDhbH9Cz0tuDiY8C3ctxq1tqvaCgkFb8cCA/edit?usp=sharing"",""ชัยภูมิ!L494"")"),7300)</f>
        <v>7300</v>
      </c>
      <c r="M599" s="165"/>
      <c r="N599" s="169">
        <f ca="1">IFERROR(__xludf.DUMMYFUNCTION("IMPORTRANGE(""https://docs.google.com/spreadsheets/d/1XL5vhW3sbDhbH9Cz0tuDiY8C3ctxq1tqvaCgkFb8cCA/edit?usp=sharing"",""ชัยภูมิ!M494"")"),720)</f>
        <v>720</v>
      </c>
      <c r="O599" s="169">
        <f t="shared" ca="1" si="126"/>
        <v>9.8630136986301373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IFERROR(__xludf.DUMMYFUNCTION("IMPORTRANGE(""https://docs.google.com/spreadsheets/d/1XL5vhW3sbDhbH9Cz0tuDiY8C3ctxq1tqvaCgkFb8cCA/edit?usp=sharing"",""ชัยภูมิ!L496"")"),7300)</f>
        <v>7300</v>
      </c>
      <c r="M601" s="169"/>
      <c r="N601" s="169">
        <f ca="1">IFERROR(__xludf.DUMMYFUNCTION("IMPORTRANGE(""https://docs.google.com/spreadsheets/d/1XL5vhW3sbDhbH9Cz0tuDiY8C3ctxq1tqvaCgkFb8cCA/edit?usp=sharing"",""ชัยภูมิ!M496"")"),720)</f>
        <v>720</v>
      </c>
      <c r="O601" s="169">
        <f t="shared" ca="1" si="126"/>
        <v>9.8630136986301373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IFERROR(__xludf.DUMMYFUNCTION("IMPORTRANGE(""https://docs.google.com/spreadsheets/d/1XL5vhW3sbDhbH9Cz0tuDiY8C3ctxq1tqvaCgkFb8cCA/edit?usp=sharing"",""ชัยภูมิ!I523"")"),4000000)</f>
        <v>4000000</v>
      </c>
      <c r="J628" s="341">
        <f ca="1">IFERROR(__xludf.DUMMYFUNCTION("IMPORTRANGE(""https://docs.google.com/spreadsheets/d/1XL5vhW3sbDhbH9Cz0tuDiY8C3ctxq1tqvaCgkFb8cCA/edit?usp=sharing"",""ชัยภูมิ!J523"")"),2330000)</f>
        <v>2330000</v>
      </c>
      <c r="K628" s="342">
        <f t="shared" ref="K628:K635" ca="1" si="129">IF(I628&gt;0,J628*100/I628,0)</f>
        <v>58.25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IFERROR(__xludf.DUMMYFUNCTION("IMPORTRANGE(""https://docs.google.com/spreadsheets/d/1XL5vhW3sbDhbH9Cz0tuDiY8C3ctxq1tqvaCgkFb8cCA/edit?usp=sharing"",""ชัยภูมิ!I524"")"),129)</f>
        <v>129</v>
      </c>
      <c r="J629" s="341">
        <f ca="1">IFERROR(__xludf.DUMMYFUNCTION("IMPORTRANGE(""https://docs.google.com/spreadsheets/d/1XL5vhW3sbDhbH9Cz0tuDiY8C3ctxq1tqvaCgkFb8cCA/edit?usp=sharing"",""ชัยภูมิ!J524"")"),76)</f>
        <v>76</v>
      </c>
      <c r="K629" s="342">
        <f t="shared" ca="1" si="129"/>
        <v>58.914728682170541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1">
        <f ca="1">IFERROR(__xludf.DUMMYFUNCTION("IMPORTRANGE(""https://docs.google.com/spreadsheets/d/1XL5vhW3sbDhbH9Cz0tuDiY8C3ctxq1tqvaCgkFb8cCA/edit?usp=sharing"",""ชัยภูมิ!J525"")"),414822.8)</f>
        <v>414822.8</v>
      </c>
      <c r="K630" s="342">
        <f t="shared" ca="1" si="129"/>
        <v>5.0414545268896482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IFERROR(__xludf.DUMMYFUNCTION("IMPORTRANGE(""https://docs.google.com/spreadsheets/d/1XL5vhW3sbDhbH9Cz0tuDiY8C3ctxq1tqvaCgkFb8cCA/edit?usp=sharing"",""ชัยภูมิ!I526"")"),358)</f>
        <v>358</v>
      </c>
      <c r="J631" s="341">
        <f ca="1">IFERROR(__xludf.DUMMYFUNCTION("IMPORTRANGE(""https://docs.google.com/spreadsheets/d/1XL5vhW3sbDhbH9Cz0tuDiY8C3ctxq1tqvaCgkFb8cCA/edit?usp=sharing"",""ชัยภูมิ!J526"")"),65)</f>
        <v>65</v>
      </c>
      <c r="K631" s="342">
        <f t="shared" ca="1" si="129"/>
        <v>18.156424581005588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IFERROR(__xludf.DUMMYFUNCTION("IMPORTRANGE(""https://docs.google.com/spreadsheets/d/1XL5vhW3sbDhbH9Cz0tuDiY8C3ctxq1tqvaCgkFb8cCA/edit?usp=sharing"",""ชัยภูมิ!I527"")"),893351.91)</f>
        <v>893351.91</v>
      </c>
      <c r="J632" s="341">
        <f ca="1">IFERROR(__xludf.DUMMYFUNCTION("IMPORTRANGE(""https://docs.google.com/spreadsheets/d/1XL5vhW3sbDhbH9Cz0tuDiY8C3ctxq1tqvaCgkFb8cCA/edit?usp=sharing"",""ชัยภูมิ!J527"")"),904382.79)</f>
        <v>904382.79</v>
      </c>
      <c r="K632" s="342">
        <f t="shared" ca="1" si="129"/>
        <v>101.23477432314439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IFERROR(__xludf.DUMMYFUNCTION("IMPORTRANGE(""https://docs.google.com/spreadsheets/d/1XL5vhW3sbDhbH9Cz0tuDiY8C3ctxq1tqvaCgkFb8cCA/edit?usp=sharing"",""ชัยภูมิ!I528"")"),9)</f>
        <v>9</v>
      </c>
      <c r="J633" s="341">
        <f ca="1">IFERROR(__xludf.DUMMYFUNCTION("IMPORTRANGE(""https://docs.google.com/spreadsheets/d/1XL5vhW3sbDhbH9Cz0tuDiY8C3ctxq1tqvaCgkFb8cCA/edit?usp=sharing"",""ชัยภูมิ!J528"")"),20)</f>
        <v>20</v>
      </c>
      <c r="K633" s="342">
        <f t="shared" ca="1" si="129"/>
        <v>222.22222222222223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IFERROR(__xludf.DUMMYFUNCTION("IMPORTRANGE(""https://docs.google.com/spreadsheets/d/1XL5vhW3sbDhbH9Cz0tuDiY8C3ctxq1tqvaCgkFb8cCA/edit?usp=sharing"",""ชัยภูมิ!I529"")"),3000000)</f>
        <v>3000000</v>
      </c>
      <c r="J634" s="341">
        <f ca="1">IFERROR(__xludf.DUMMYFUNCTION("IMPORTRANGE(""https://docs.google.com/spreadsheets/d/1XL5vhW3sbDhbH9Cz0tuDiY8C3ctxq1tqvaCgkFb8cCA/edit?usp=sharing"",""ชัยภูมิ!J529"")"),1410000)</f>
        <v>1410000</v>
      </c>
      <c r="K634" s="342">
        <f t="shared" ca="1" si="129"/>
        <v>47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IFERROR(__xludf.DUMMYFUNCTION("IMPORTRANGE(""https://docs.google.com/spreadsheets/d/1XL5vhW3sbDhbH9Cz0tuDiY8C3ctxq1tqvaCgkFb8cCA/edit?usp=sharing"",""ชัยภูมิ!I530"")"),100)</f>
        <v>100</v>
      </c>
      <c r="J635" s="504">
        <f ca="1">IFERROR(__xludf.DUMMYFUNCTION("IMPORTRANGE(""https://docs.google.com/spreadsheets/d/1XL5vhW3sbDhbH9Cz0tuDiY8C3ctxq1tqvaCgkFb8cCA/edit?usp=sharing"",""ชัยภูมิ!J530"")"),45)</f>
        <v>45</v>
      </c>
      <c r="K635" s="486">
        <f t="shared" ca="1" si="129"/>
        <v>45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840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840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840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IFERROR(__xludf.DUMMYFUNCTION("IMPORTRANGE(""https://docs.google.com/spreadsheets/d/1XL5vhW3sbDhbH9Cz0tuDiY8C3ctxq1tqvaCgkFb8cCA/edit#gid=346597447"",""ชัยภูมิ!J541"")"),0)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IFERROR(__xludf.DUMMYFUNCTION("IMPORTRANGE(""https://docs.google.com/spreadsheets/d/1XL5vhW3sbDhbH9Cz0tuDiY8C3ctxq1tqvaCgkFb8cCA/edit#gid=346597447"",""ชัยภูมิ!J542"")"),0)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IFERROR(__xludf.DUMMYFUNCTION("IMPORTRANGE(""https://docs.google.com/spreadsheets/d/1XL5vhW3sbDhbH9Cz0tuDiY8C3ctxq1tqvaCgkFb8cCA/edit#gid=346597447"",""ชัยภูมิ!I543"")"),0)</f>
        <v>0</v>
      </c>
      <c r="J648" s="585">
        <f ca="1">IFERROR(__xludf.DUMMYFUNCTION("IMPORTRANGE(""https://docs.google.com/spreadsheets/d/1XL5vhW3sbDhbH9Cz0tuDiY8C3ctxq1tqvaCgkFb8cCA/edit#gid=346597447"",""ชัยภูมิ!J543"")"),0)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IFERROR(__xludf.DUMMYFUNCTION("IMPORTRANGE(""https://docs.google.com/spreadsheets/d/1XL5vhW3sbDhbH9Cz0tuDiY8C3ctxq1tqvaCgkFb8cCA/edit#gid=346597447"",""ชัยภูมิ!L543"")"),0)</f>
        <v>0</v>
      </c>
      <c r="M648" s="570"/>
      <c r="N648" s="587">
        <f ca="1">IFERROR(__xludf.DUMMYFUNCTION("IMPORTRANGE(""https://docs.google.com/spreadsheets/d/1XL5vhW3sbDhbH9Cz0tuDiY8C3ctxq1tqvaCgkFb8cCA/edit#gid=346597447"",""ชัยภูมิ!M543"")"),0)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IFERROR(__xludf.DUMMYFUNCTION("IMPORTRANGE(""https://docs.google.com/spreadsheets/d/1XL5vhW3sbDhbH9Cz0tuDiY8C3ctxq1tqvaCgkFb8cCA/edit#gid=346597447"",""ชัยภูมิ!I544"")"),7)</f>
        <v>7</v>
      </c>
      <c r="J649" s="585">
        <f ca="1">IFERROR(__xludf.DUMMYFUNCTION("IMPORTRANGE(""https://docs.google.com/spreadsheets/d/1XL5vhW3sbDhbH9Cz0tuDiY8C3ctxq1tqvaCgkFb8cCA/edit#gid=346597447"",""ชัยภูมิ!J544"")"),0)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IFERROR(__xludf.DUMMYFUNCTION("IMPORTRANGE(""https://docs.google.com/spreadsheets/d/1XL5vhW3sbDhbH9Cz0tuDiY8C3ctxq1tqvaCgkFb8cCA/edit#gid=346597447"",""ชัยภูมิ!L544"")"),840)</f>
        <v>840</v>
      </c>
      <c r="M649" s="570"/>
      <c r="N649" s="587">
        <f ca="1">IFERROR(__xludf.DUMMYFUNCTION("IMPORTRANGE(""https://docs.google.com/spreadsheets/d/1XL5vhW3sbDhbH9Cz0tuDiY8C3ctxq1tqvaCgkFb8cCA/edit#gid=346597447"",""ชัยภูมิ!M544"")"),0)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IFERROR(__xludf.DUMMYFUNCTION("IMPORTRANGE(""https://docs.google.com/spreadsheets/d/1XL5vhW3sbDhbH9Cz0tuDiY8C3ctxq1tqvaCgkFb8cCA/edit#gid=346597447"",""ชัยภูมิ!I545"")"),0)</f>
        <v>0</v>
      </c>
      <c r="J650" s="585">
        <f ca="1">IFERROR(__xludf.DUMMYFUNCTION("IMPORTRANGE(""https://docs.google.com/spreadsheets/d/1XL5vhW3sbDhbH9Cz0tuDiY8C3ctxq1tqvaCgkFb8cCA/edit#gid=346597447"",""ชัยภูมิ!J545"")"),0)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IFERROR(__xludf.DUMMYFUNCTION("IMPORTRANGE(""https://docs.google.com/spreadsheets/d/1XL5vhW3sbDhbH9Cz0tuDiY8C3ctxq1tqvaCgkFb8cCA/edit#gid=346597447"",""ชัยภูมิ!L545"")"),0)</f>
        <v>0</v>
      </c>
      <c r="M650" s="570"/>
      <c r="N650" s="587">
        <f ca="1">IFERROR(__xludf.DUMMYFUNCTION("IMPORTRANGE(""https://docs.google.com/spreadsheets/d/1XL5vhW3sbDhbH9Cz0tuDiY8C3ctxq1tqvaCgkFb8cCA/edit#gid=346597447"",""ชัยภูมิ!M545"")"),0)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IFERROR(__xludf.DUMMYFUNCTION("IMPORTRANGE(""https://docs.google.com/spreadsheets/d/1XL5vhW3sbDhbH9Cz0tuDiY8C3ctxq1tqvaCgkFb8cCA/edit#gid=346597447"",""ชัยภูมิ!I546"")"),0)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IFERROR(__xludf.DUMMYFUNCTION("IMPORTRANGE(""https://docs.google.com/spreadsheets/d/1XL5vhW3sbDhbH9Cz0tuDiY8C3ctxq1tqvaCgkFb8cCA/edit#gid=346597447"",""ชัยภูมิ!L546"")"),0)</f>
        <v>0</v>
      </c>
      <c r="M651" s="570"/>
      <c r="N651" s="587">
        <f ca="1">IFERROR(__xludf.DUMMYFUNCTION("IMPORTRANGE(""https://docs.google.com/spreadsheets/d/1XL5vhW3sbDhbH9Cz0tuDiY8C3ctxq1tqvaCgkFb8cCA/edit#gid=346597447"",""ชัยภูมิ!M546"")"),0)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IFERROR(__xludf.DUMMYFUNCTION("IMPORTRANGE(""https://docs.google.com/spreadsheets/d/1XL5vhW3sbDhbH9Cz0tuDiY8C3ctxq1tqvaCgkFb8cCA/edit#gid=346597447"",""ชัยภูมิ!J547"")"),0)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IFERROR(__xludf.DUMMYFUNCTION("IMPORTRANGE(""https://docs.google.com/spreadsheets/d/1XL5vhW3sbDhbH9Cz0tuDiY8C3ctxq1tqvaCgkFb8cCA/edit#gid=346597447"",""ชัยภูมิ!J548"")"),0)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IFERROR(__xludf.DUMMYFUNCTION("IMPORTRANGE(""https://docs.google.com/spreadsheets/d/1XL5vhW3sbDhbH9Cz0tuDiY8C3ctxq1tqvaCgkFb8cCA/edit#gid=346597447"",""ชัยภูมิ!J550"")"),0)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IFERROR(__xludf.DUMMYFUNCTION("IMPORTRANGE(""https://docs.google.com/spreadsheets/d/1XL5vhW3sbDhbH9Cz0tuDiY8C3ctxq1tqvaCgkFb8cCA/edit#gid=346597447"",""ชัยภูมิ!J551"")"),0)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IFERROR(__xludf.DUMMYFUNCTION("IMPORTRANGE(""https://docs.google.com/spreadsheets/d/1XL5vhW3sbDhbH9Cz0tuDiY8C3ctxq1tqvaCgkFb8cCA/edit#gid=346597447"",""ชัยภูมิ!J552"")"),0)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IFERROR(__xludf.DUMMYFUNCTION("IMPORTRANGE(""https://docs.google.com/spreadsheets/d/1XL5vhW3sbDhbH9Cz0tuDiY8C3ctxq1tqvaCgkFb8cCA/edit#gid=346597447"",""ชัยภูมิ!J553"")"),0)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IFERROR(__xludf.DUMMYFUNCTION("IMPORTRANGE(""https://docs.google.com/spreadsheets/d/1XL5vhW3sbDhbH9Cz0tuDiY8C3ctxq1tqvaCgkFb8cCA/edit#gid=346597447"",""ชัยภูมิ!J554"")"),0)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IFERROR(__xludf.DUMMYFUNCTION("IMPORTRANGE(""https://docs.google.com/spreadsheets/d/1XL5vhW3sbDhbH9Cz0tuDiY8C3ctxq1tqvaCgkFb8cCA/edit#gid=346597447"",""ชัยภูมิ!J555"")"),0)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IFERROR(__xludf.DUMMYFUNCTION("IMPORTRANGE(""https://docs.google.com/spreadsheets/d/1XL5vhW3sbDhbH9Cz0tuDiY8C3ctxq1tqvaCgkFb8cCA/edit#gid=346597447"",""ชัยภูมิ!J556"")"),0)</f>
        <v>0</v>
      </c>
      <c r="K661" s="586"/>
      <c r="L661" s="571">
        <f ca="1">IFERROR(__xludf.DUMMYFUNCTION("IMPORTRANGE(""https://docs.google.com/spreadsheets/d/1XL5vhW3sbDhbH9Cz0tuDiY8C3ctxq1tqvaCgkFb8cCA/edit#gid=346597447"",""ชัยภูมิ!L556"")"),0)</f>
        <v>0</v>
      </c>
      <c r="M661" s="570"/>
      <c r="N661" s="587">
        <f ca="1">IFERROR(__xludf.DUMMYFUNCTION("IMPORTRANGE(""https://docs.google.com/spreadsheets/d/1XL5vhW3sbDhbH9Cz0tuDiY8C3ctxq1tqvaCgkFb8cCA/edit#gid=346597447"",""ชัยภูมิ!M556"")"),0)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IFERROR(__xludf.DUMMYFUNCTION("IMPORTRANGE(""https://docs.google.com/spreadsheets/d/1XL5vhW3sbDhbH9Cz0tuDiY8C3ctxq1tqvaCgkFb8cCA/edit#gid=346597447"",""ชัยภูมิ!J557"")"),0)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IFERROR(__xludf.DUMMYFUNCTION("IMPORTRANGE(""https://docs.google.com/spreadsheets/d/1XL5vhW3sbDhbH9Cz0tuDiY8C3ctxq1tqvaCgkFb8cCA/edit#gid=346597447"",""ชัยภูมิ!I558"")"),0)</f>
        <v>0</v>
      </c>
      <c r="J663" s="585">
        <f ca="1">IFERROR(__xludf.DUMMYFUNCTION("IMPORTRANGE(""https://docs.google.com/spreadsheets/d/1XL5vhW3sbDhbH9Cz0tuDiY8C3ctxq1tqvaCgkFb8cCA/edit#gid=346597447"",""ชัยภูมิ!J558"")"),0)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IFERROR(__xludf.DUMMYFUNCTION("IMPORTRANGE(""https://docs.google.com/spreadsheets/d/1XL5vhW3sbDhbH9Cz0tuDiY8C3ctxq1tqvaCgkFb8cCA/edit#gid=346597447"",""ชัยภูมิ!I560"")"),0)</f>
        <v>0</v>
      </c>
      <c r="J665" s="585">
        <f ca="1">IFERROR(__xludf.DUMMYFUNCTION("IMPORTRANGE(""https://docs.google.com/spreadsheets/d/1XL5vhW3sbDhbH9Cz0tuDiY8C3ctxq1tqvaCgkFb8cCA/edit#gid=346597447"",""ชัยภูมิ!J560"")"),0)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IFERROR(__xludf.DUMMYFUNCTION("IMPORTRANGE(""https://docs.google.com/spreadsheets/d/1XL5vhW3sbDhbH9Cz0tuDiY8C3ctxq1tqvaCgkFb8cCA/edit#gid=346597447"",""ชัยภูมิ!L560"")"),0)</f>
        <v>0</v>
      </c>
      <c r="M665" s="570"/>
      <c r="N665" s="587">
        <f ca="1">IFERROR(__xludf.DUMMYFUNCTION("IMPORTRANGE(""https://docs.google.com/spreadsheets/d/1XL5vhW3sbDhbH9Cz0tuDiY8C3ctxq1tqvaCgkFb8cCA/edit#gid=346597447"",""ชัยภูมิ!M560"")"),0)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IFERROR(__xludf.DUMMYFUNCTION("IMPORTRANGE(""https://docs.google.com/spreadsheets/d/1XL5vhW3sbDhbH9Cz0tuDiY8C3ctxq1tqvaCgkFb8cCA/edit#gid=346597447"",""ชัยภูมิ!J561"")"),0)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IFERROR(__xludf.DUMMYFUNCTION("IMPORTRANGE(""https://docs.google.com/spreadsheets/d/1XL5vhW3sbDhbH9Cz0tuDiY8C3ctxq1tqvaCgkFb8cCA/edit#gid=346597447"",""ชัยภูมิ!J562"")"),0)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IFERROR(__xludf.DUMMYFUNCTION("IMPORTRANGE(""https://docs.google.com/spreadsheets/d/1XL5vhW3sbDhbH9Cz0tuDiY8C3ctxq1tqvaCgkFb8cCA/edit#gid=346597447"",""ชัยภูมิ!I563"")"),0)</f>
        <v>0</v>
      </c>
      <c r="J668" s="585">
        <f ca="1">IFERROR(__xludf.DUMMYFUNCTION("IMPORTRANGE(""https://docs.google.com/spreadsheets/d/1XL5vhW3sbDhbH9Cz0tuDiY8C3ctxq1tqvaCgkFb8cCA/edit#gid=346597447"",""ชัยภูมิ!J563"")"),0)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IFERROR(__xludf.DUMMYFUNCTION("IMPORTRANGE(""https://docs.google.com/spreadsheets/d/1XL5vhW3sbDhbH9Cz0tuDiY8C3ctxq1tqvaCgkFb8cCA/edit#gid=346597447"",""ชัยภูมิ!L563"")"),0)</f>
        <v>0</v>
      </c>
      <c r="M668" s="570"/>
      <c r="N668" s="587">
        <f ca="1">IFERROR(__xludf.DUMMYFUNCTION("IMPORTRANGE(""https://docs.google.com/spreadsheets/d/1XL5vhW3sbDhbH9Cz0tuDiY8C3ctxq1tqvaCgkFb8cCA/edit#gid=346597447"",""ชัยภูมิ!M563"")"),0)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IFERROR(__xludf.DUMMYFUNCTION("IMPORTRANGE(""https://docs.google.com/spreadsheets/d/1XL5vhW3sbDhbH9Cz0tuDiY8C3ctxq1tqvaCgkFb8cCA/edit#gid=346597447"",""ชัยภูมิ!J564"")"),0)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IFERROR(__xludf.DUMMYFUNCTION("IMPORTRANGE(""https://docs.google.com/spreadsheets/d/1XL5vhW3sbDhbH9Cz0tuDiY8C3ctxq1tqvaCgkFb8cCA/edit#gid=346597447"",""ชัยภูมิ!J565"")"),0)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IFERROR(__xludf.DUMMYFUNCTION("IMPORTRANGE(""https://docs.google.com/spreadsheets/d/1XL5vhW3sbDhbH9Cz0tuDiY8C3ctxq1tqvaCgkFb8cCA/edit#gid=346597447"",""ชัยภูมิ!I566"")"),0)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IFERROR(__xludf.DUMMYFUNCTION("IMPORTRANGE(""https://docs.google.com/spreadsheets/d/1XL5vhW3sbDhbH9Cz0tuDiY8C3ctxq1tqvaCgkFb8cCA/edit#gid=346597447"",""ชัยภูมิ!L566"")"),0)</f>
        <v>0</v>
      </c>
      <c r="M671" s="570"/>
      <c r="N671" s="587">
        <f ca="1">IFERROR(__xludf.DUMMYFUNCTION("IMPORTRANGE(""https://docs.google.com/spreadsheets/d/1XL5vhW3sbDhbH9Cz0tuDiY8C3ctxq1tqvaCgkFb8cCA/edit#gid=346597447"",""ชัยภูมิ!M566"")"),0)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IFERROR(__xludf.DUMMYFUNCTION("IMPORTRANGE(""https://docs.google.com/spreadsheets/d/1XL5vhW3sbDhbH9Cz0tuDiY8C3ctxq1tqvaCgkFb8cCA/edit#gid=346597447"",""ชัยภูมิ!J567"")"),0)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IFERROR(__xludf.DUMMYFUNCTION("IMPORTRANGE(""https://docs.google.com/spreadsheets/d/1XL5vhW3sbDhbH9Cz0tuDiY8C3ctxq1tqvaCgkFb8cCA/edit#gid=346597447"",""ชัยภูมิ!J568"")"),0)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IFERROR(__xludf.DUMMYFUNCTION("IMPORTRANGE(""https://docs.google.com/spreadsheets/d/1XL5vhW3sbDhbH9Cz0tuDiY8C3ctxq1tqvaCgkFb8cCA/edit#gid=346597447"",""ชัยภูมิ!J569"")"),0)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IFERROR(__xludf.DUMMYFUNCTION("IMPORTRANGE(""https://docs.google.com/spreadsheets/d/1XL5vhW3sbDhbH9Cz0tuDiY8C3ctxq1tqvaCgkFb8cCA/edit#gid=346597447"",""ชัยภูมิ!J570"")"),0)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IFERROR(__xludf.DUMMYFUNCTION("IMPORTRANGE(""https://docs.google.com/spreadsheets/d/1XL5vhW3sbDhbH9Cz0tuDiY8C3ctxq1tqvaCgkFb8cCA/edit#gid=346597447"",""ชัยภูมิ!J571"")"),0)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IFERROR(__xludf.DUMMYFUNCTION("IMPORTRANGE(""https://docs.google.com/spreadsheets/d/1XL5vhW3sbDhbH9Cz0tuDiY8C3ctxq1tqvaCgkFb8cCA/edit#gid=346597447"",""ชัยภูมิ!J572"")"),0)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4" sqref="G4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4.570312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266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3" t="s">
        <v>15</v>
      </c>
      <c r="B7" s="648"/>
      <c r="C7" s="648"/>
      <c r="D7" s="648"/>
      <c r="E7" s="648"/>
      <c r="F7" s="648"/>
      <c r="G7" s="64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6003754</v>
      </c>
      <c r="M8" s="23">
        <f t="shared" ca="1" si="0"/>
        <v>3288115</v>
      </c>
      <c r="N8" s="23">
        <f t="shared" ca="1" si="0"/>
        <v>3117248.38</v>
      </c>
      <c r="O8" s="22">
        <f t="shared" ref="O8:O16" ca="1" si="1">IF(L8&gt;0,N8*100/L8,0)</f>
        <v>51.921654018469113</v>
      </c>
      <c r="P8" s="22">
        <f t="shared" ref="P8:P16" ca="1" si="2">IF(M8&gt;0,N8*100/M8,0)</f>
        <v>94.803508393106682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6003754</v>
      </c>
      <c r="M10" s="30">
        <f t="shared" ca="1" si="4"/>
        <v>3288115</v>
      </c>
      <c r="N10" s="30">
        <f t="shared" ca="1" si="4"/>
        <v>3117248.38</v>
      </c>
      <c r="O10" s="29">
        <f t="shared" ca="1" si="1"/>
        <v>51.921654018469113</v>
      </c>
      <c r="P10" s="29">
        <f t="shared" ca="1" si="2"/>
        <v>94.803508393106682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5012454</v>
      </c>
      <c r="M12" s="38">
        <f t="shared" ca="1" si="6"/>
        <v>2296815</v>
      </c>
      <c r="N12" s="38">
        <f t="shared" ca="1" si="6"/>
        <v>2125948.38</v>
      </c>
      <c r="O12" s="38">
        <f t="shared" ca="1" si="1"/>
        <v>42.413324491356931</v>
      </c>
      <c r="P12" s="38">
        <f t="shared" ca="1" si="2"/>
        <v>92.560714728874544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3259554</v>
      </c>
      <c r="M14" s="38">
        <f t="shared" si="8"/>
        <v>0</v>
      </c>
      <c r="N14" s="38">
        <f t="shared" ca="1" si="8"/>
        <v>545131.26</v>
      </c>
      <c r="O14" s="38">
        <f t="shared" ca="1" si="1"/>
        <v>16.724105813249299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991300</v>
      </c>
      <c r="M16" s="38">
        <f t="shared" ca="1" si="10"/>
        <v>991300</v>
      </c>
      <c r="N16" s="38">
        <f t="shared" ca="1" si="10"/>
        <v>991300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3" t="s">
        <v>24</v>
      </c>
      <c r="B17" s="648"/>
      <c r="C17" s="648"/>
      <c r="D17" s="648"/>
      <c r="E17" s="648"/>
      <c r="F17" s="648"/>
      <c r="G17" s="64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3967395</v>
      </c>
      <c r="M18" s="23">
        <f t="shared" ca="1" si="11"/>
        <v>3288115</v>
      </c>
      <c r="N18" s="23">
        <f t="shared" ca="1" si="11"/>
        <v>2572117.12</v>
      </c>
      <c r="O18" s="22">
        <f t="shared" ref="O18:O20" ca="1" si="12">IF(L18&gt;0,N18*100/L18,0)</f>
        <v>64.83138482555934</v>
      </c>
      <c r="P18" s="22">
        <f t="shared" ref="P18:P26" ca="1" si="13">IF(M18&gt;0,N18*100/M18,0)</f>
        <v>78.224670365847913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3967395</v>
      </c>
      <c r="M20" s="30">
        <f t="shared" ca="1" si="15"/>
        <v>3288115</v>
      </c>
      <c r="N20" s="30">
        <f t="shared" ca="1" si="15"/>
        <v>2572117.12</v>
      </c>
      <c r="O20" s="29">
        <f t="shared" ca="1" si="12"/>
        <v>64.83138482555934</v>
      </c>
      <c r="P20" s="29">
        <f t="shared" ca="1" si="13"/>
        <v>78.224670365847913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2976095</v>
      </c>
      <c r="M22" s="41">
        <f t="shared" ca="1" si="18"/>
        <v>2296815</v>
      </c>
      <c r="N22" s="38">
        <f t="shared" ca="1" si="18"/>
        <v>1580817.12</v>
      </c>
      <c r="O22" s="38">
        <f t="shared" ca="1" si="17"/>
        <v>53.117159230468111</v>
      </c>
      <c r="P22" s="38">
        <f t="shared" ca="1" si="13"/>
        <v>68.826488855219068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1223195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991300</v>
      </c>
      <c r="M26" s="49">
        <f t="shared" ca="1" si="22"/>
        <v>991300</v>
      </c>
      <c r="N26" s="49">
        <f t="shared" ca="1" si="22"/>
        <v>991300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3" t="s">
        <v>25</v>
      </c>
      <c r="B27" s="648"/>
      <c r="C27" s="648"/>
      <c r="D27" s="648"/>
      <c r="E27" s="648"/>
      <c r="F27" s="648"/>
      <c r="G27" s="64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2036359</v>
      </c>
      <c r="M28" s="23">
        <f t="shared" si="23"/>
        <v>0</v>
      </c>
      <c r="N28" s="23">
        <f t="shared" ca="1" si="23"/>
        <v>545131.26</v>
      </c>
      <c r="O28" s="22">
        <f t="shared" ref="O28:O30" ca="1" si="24">IF(L28&gt;0,N28*100/L28,0)</f>
        <v>26.769899610039289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2036359</v>
      </c>
      <c r="M30" s="30">
        <f t="shared" si="27"/>
        <v>0</v>
      </c>
      <c r="N30" s="30">
        <f t="shared" ca="1" si="27"/>
        <v>545131.26</v>
      </c>
      <c r="O30" s="29">
        <f t="shared" ca="1" si="24"/>
        <v>26.769899610039289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2036359</v>
      </c>
      <c r="M32" s="38">
        <f t="shared" si="30"/>
        <v>0</v>
      </c>
      <c r="N32" s="38">
        <f t="shared" ca="1" si="30"/>
        <v>545131.26</v>
      </c>
      <c r="O32" s="38">
        <f t="shared" ca="1" si="29"/>
        <v>26.769899610039289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2036359</v>
      </c>
      <c r="M34" s="38">
        <f t="shared" si="32"/>
        <v>0</v>
      </c>
      <c r="N34" s="38">
        <f t="shared" ca="1" si="32"/>
        <v>545131.26</v>
      </c>
      <c r="O34" s="38">
        <f t="shared" ca="1" si="29"/>
        <v>26.769899610039289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3967395</v>
      </c>
      <c r="M37" s="54">
        <f t="shared" ca="1" si="33"/>
        <v>3288115</v>
      </c>
      <c r="N37" s="54">
        <f t="shared" ca="1" si="33"/>
        <v>2572117.12</v>
      </c>
      <c r="O37" s="55">
        <f t="shared" ca="1" si="29"/>
        <v>64.83138482555934</v>
      </c>
      <c r="P37" s="55">
        <f t="shared" ca="1" si="25"/>
        <v>78.224670365847913</v>
      </c>
    </row>
    <row r="38" spans="1:16" ht="21.75" customHeight="1" x14ac:dyDescent="0.3">
      <c r="A38" s="647" t="s">
        <v>27</v>
      </c>
      <c r="B38" s="648"/>
      <c r="C38" s="648"/>
      <c r="D38" s="648"/>
      <c r="E38" s="648"/>
      <c r="F38" s="648"/>
      <c r="G38" s="64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0" t="s">
        <v>28</v>
      </c>
      <c r="C39" s="641"/>
      <c r="D39" s="641"/>
      <c r="E39" s="641"/>
      <c r="F39" s="641"/>
      <c r="G39" s="64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1431100</v>
      </c>
      <c r="M41" s="78">
        <f t="shared" ca="1" si="34"/>
        <v>1276300</v>
      </c>
      <c r="N41" s="78">
        <f t="shared" ca="1" si="34"/>
        <v>1138459.6000000001</v>
      </c>
      <c r="O41" s="77">
        <f t="shared" ref="O41:O43" ca="1" si="35">IF(L41&gt;0,N41*100/L41,0)</f>
        <v>79.551366082034804</v>
      </c>
      <c r="P41" s="77">
        <f t="shared" ref="P41:P43" ca="1" si="36">IF(M41&gt;0,N41*100/M41,0)</f>
        <v>89.200000000000017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1431100</v>
      </c>
      <c r="M43" s="78">
        <f t="shared" ca="1" si="38"/>
        <v>1276300</v>
      </c>
      <c r="N43" s="78">
        <f t="shared" ca="1" si="38"/>
        <v>1138459.6000000001</v>
      </c>
      <c r="O43" s="77">
        <f t="shared" ca="1" si="35"/>
        <v>79.551366082034804</v>
      </c>
      <c r="P43" s="77">
        <f t="shared" ca="1" si="36"/>
        <v>89.200000000000017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631100</v>
      </c>
      <c r="M45" s="49">
        <f ca="1">IFERROR(__xludf.DUMMYFUNCTION("IMPORTRANGE(""https://docs.google.com/spreadsheets/d/1Yj_ptqi66GCucihVvJfMjLAmec39IyEx_6qawtMGysU/edit?usp=sharing"",""สบก!Q41"")"),476300)</f>
        <v>476300</v>
      </c>
      <c r="N45" s="49">
        <f ca="1">IFERROR(__xludf.DUMMYFUNCTION("IMPORTRANGE(""https://docs.google.com/spreadsheets/d/1Yj_ptqi66GCucihVvJfMjLAmec39IyEx_6qawtMGysU/edit?usp=sharing"",""สบก!R41"")"),338459.6)</f>
        <v>338459.6</v>
      </c>
      <c r="O45" s="38">
        <f ca="1">IF(L45&gt;0,N45*100/L45,0)</f>
        <v>53.630106163840914</v>
      </c>
      <c r="P45" s="38">
        <f ca="1">IF(M45&gt;0,N45*100/M45,0)</f>
        <v>71.060172160403113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IFERROR(__xludf.DUMMYFUNCTION("IMPORTRANGE(""https://docs.google.com/spreadsheets/d/1Yj_ptqi66GCucihVvJfMjLAmec39IyEx_6qawtMGysU/edit?usp=sharing"",""สบก!M41"")"),631100)</f>
        <v>631100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IFERROR(__xludf.DUMMYFUNCTION("IMPORTRANGE(""https://docs.google.com/spreadsheets/d/1Yj_ptqi66GCucihVvJfMjLAmec39IyEx_6qawtMGysU/edit?usp=sharing"",""สบก!O41"")"),800000)</f>
        <v>800000</v>
      </c>
      <c r="M49" s="49">
        <f ca="1">L49</f>
        <v>800000</v>
      </c>
      <c r="N49" s="49">
        <f ca="1">IFERROR(__xludf.DUMMYFUNCTION("IMPORTRANGE(""https://docs.google.com/spreadsheets/d/1Yj_ptqi66GCucihVvJfMjLAmec39IyEx_6qawtMGysU/edit?usp=sharing"",""สบก!S41"")"),800000)</f>
        <v>800000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412800</v>
      </c>
      <c r="M53" s="121">
        <f t="shared" ca="1" si="39"/>
        <v>324040</v>
      </c>
      <c r="N53" s="121">
        <f t="shared" ca="1" si="39"/>
        <v>300038</v>
      </c>
      <c r="O53" s="120">
        <f t="shared" ref="O53:O55" ca="1" si="40">IF(L53&gt;0,N53*100/L53,0)</f>
        <v>72.683624031007753</v>
      </c>
      <c r="P53" s="120">
        <f t="shared" ref="P53:P55" ca="1" si="41">IF(M53&gt;0,N53*100/M53,0)</f>
        <v>92.592889766695464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412800</v>
      </c>
      <c r="M55" s="121">
        <f t="shared" ca="1" si="43"/>
        <v>324040</v>
      </c>
      <c r="N55" s="121">
        <f t="shared" ca="1" si="43"/>
        <v>300038</v>
      </c>
      <c r="O55" s="120">
        <f t="shared" ca="1" si="40"/>
        <v>72.683624031007753</v>
      </c>
      <c r="P55" s="120">
        <f t="shared" ca="1" si="41"/>
        <v>92.592889766695464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412800</v>
      </c>
      <c r="M57" s="49">
        <f ca="1">IFERROR(__xludf.DUMMYFUNCTION("IMPORTRANGE(""https://docs.google.com/spreadsheets/d/1Yj_ptqi66GCucihVvJfMjLAmec39IyEx_6qawtMGysU/edit?usp=sharing"",""สบก!Z41"")"),324040)</f>
        <v>324040</v>
      </c>
      <c r="N57" s="49">
        <f ca="1">IFERROR(__xludf.DUMMYFUNCTION("IMPORTRANGE(""https://docs.google.com/spreadsheets/d/1Yj_ptqi66GCucihVvJfMjLAmec39IyEx_6qawtMGysU/edit?usp=sharing"",""สบก!AA41"")"),300038)</f>
        <v>300038</v>
      </c>
      <c r="O57" s="38">
        <f ca="1">IF(L57&gt;0,N57*100/L57,0)</f>
        <v>72.683624031007753</v>
      </c>
      <c r="P57" s="38">
        <f ca="1">IF(M57&gt;0,N57*100/M57,0)</f>
        <v>92.592889766695464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IFERROR(__xludf.DUMMYFUNCTION("IMPORTRANGE(""https://docs.google.com/spreadsheets/d/1Yj_ptqi66GCucihVvJfMjLAmec39IyEx_6qawtMGysU/edit?usp=sharing"",""สบก!V41"")"),412800)</f>
        <v>412800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674200</v>
      </c>
      <c r="M66" s="152">
        <f t="shared" ca="1" si="45"/>
        <v>554720</v>
      </c>
      <c r="N66" s="152">
        <f t="shared" ca="1" si="45"/>
        <v>339485.31</v>
      </c>
      <c r="O66" s="151">
        <f t="shared" ref="O66:O68" ca="1" si="46">IF(L66&gt;0,N66*100/L66,0)</f>
        <v>50.353798576090178</v>
      </c>
      <c r="P66" s="151">
        <f t="shared" ref="P66:P68" ca="1" si="47">IF(M66&gt;0,N66*100/M66,0)</f>
        <v>61.199399697144507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674200</v>
      </c>
      <c r="M68" s="157">
        <f t="shared" ca="1" si="49"/>
        <v>554720</v>
      </c>
      <c r="N68" s="157">
        <f t="shared" ca="1" si="49"/>
        <v>339485.31</v>
      </c>
      <c r="O68" s="156">
        <f t="shared" ca="1" si="46"/>
        <v>50.353798576090178</v>
      </c>
      <c r="P68" s="156">
        <f t="shared" ca="1" si="47"/>
        <v>61.199399697144507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674200</v>
      </c>
      <c r="M70" s="168">
        <f ca="1">IFERROR(__xludf.DUMMYFUNCTION("IMPORTRANGE(""https://docs.google.com/spreadsheets/d/1Yj_ptqi66GCucihVvJfMjLAmec39IyEx_6qawtMGysU/edit?usp=sharing"",""สบก!AI41"")"),554720)</f>
        <v>554720</v>
      </c>
      <c r="N70" s="169">
        <f ca="1">IFERROR(__xludf.DUMMYFUNCTION("IMPORTRANGE(""https://docs.google.com/spreadsheets/d/1Yj_ptqi66GCucihVvJfMjLAmec39IyEx_6qawtMGysU/edit?usp=sharing"",""สบก!AJ41"")"),339485.31)</f>
        <v>339485.31</v>
      </c>
      <c r="O70" s="169">
        <f ca="1">IF(L70&gt;0,N70*100/L70,0)</f>
        <v>50.353798576090178</v>
      </c>
      <c r="P70" s="169">
        <f ca="1">IF(M70&gt;0,N70*100/M70,0)</f>
        <v>61.199399697144507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IFERROR(__xludf.DUMMYFUNCTION("IMPORTRANGE(""https://docs.google.com/spreadsheets/d/1Yj_ptqi66GCucihVvJfMjLAmec39IyEx_6qawtMGysU/edit?usp=sharing"",""สบก!AF41"")"),486000)</f>
        <v>486000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IFERROR(__xludf.DUMMYFUNCTION("IMPORTRANGE(""https://docs.google.com/spreadsheets/d/1XL5vhW3sbDhbH9Cz0tuDiY8C3ctxq1tqvaCgkFb8cCA/edit?usp=sharing"",""นครพนม!I28"")"),0)</f>
        <v>0</v>
      </c>
      <c r="J88" s="204">
        <f ca="1">IFERROR(__xludf.DUMMYFUNCTION("IMPORTRANGE(""https://docs.google.com/spreadsheets/d/1XL5vhW3sbDhbH9Cz0tuDiY8C3ctxq1tqvaCgkFb8cCA/edit?usp=sharing"",""นครพนม!J28"")"),0)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IFERROR(__xludf.DUMMYFUNCTION("IMPORTRANGE(""https://docs.google.com/spreadsheets/d/1XL5vhW3sbDhbH9Cz0tuDiY8C3ctxq1tqvaCgkFb8cCA/edit?usp=sharing"",""นครพนม!J30"")"),0)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108708.55</v>
      </c>
      <c r="O94" s="151">
        <f t="shared" ref="O94:O96" ca="1" si="53">IF(L94&gt;0,N94*100/L94,0)</f>
        <v>50.774661373190099</v>
      </c>
      <c r="P94" s="151">
        <f t="shared" ref="P94:P96" ca="1" si="54">IF(M94&gt;0,N94*100/M94,0)</f>
        <v>56.019453247790572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194055</v>
      </c>
      <c r="N96" s="157">
        <f t="shared" ca="1" si="56"/>
        <v>108708.55</v>
      </c>
      <c r="O96" s="156">
        <f t="shared" ca="1" si="53"/>
        <v>50.774661373190099</v>
      </c>
      <c r="P96" s="156">
        <f t="shared" ca="1" si="54"/>
        <v>56.019453247790572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IFERROR(__xludf.DUMMYFUNCTION("IMPORTRANGE(""https://docs.google.com/spreadsheets/d/1Yj_ptqi66GCucihVvJfMjLAmec39IyEx_6qawtMGysU/edit?usp=sharing"",""สบก!AR41"")"),102055)</f>
        <v>102055</v>
      </c>
      <c r="N98" s="169">
        <f ca="1">IFERROR(__xludf.DUMMYFUNCTION("IMPORTRANGE(""https://docs.google.com/spreadsheets/d/1Yj_ptqi66GCucihVvJfMjLAmec39IyEx_6qawtMGysU/edit?usp=sharing"",""สบก!AS41"")"),16708.55)</f>
        <v>16708.55</v>
      </c>
      <c r="O98" s="169">
        <f ca="1">IF(L98&gt;0,N98*100/L98,0)</f>
        <v>13.684316134316134</v>
      </c>
      <c r="P98" s="169">
        <f ca="1">IF(M98&gt;0,N98*100/M98,0)</f>
        <v>16.372103277644406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IFERROR(__xludf.DUMMYFUNCTION("IMPORTRANGE(""https://docs.google.com/spreadsheets/d/1Yj_ptqi66GCucihVvJfMjLAmec39IyEx_6qawtMGysU/edit?usp=sharing"",""สบก!AP41"")"),92000)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IFERROR(__xludf.DUMMYFUNCTION("IMPORTRANGE(""https://docs.google.com/spreadsheets/d/1XL5vhW3sbDhbH9Cz0tuDiY8C3ctxq1tqvaCgkFb8cCA/edit?usp=sharing"",""นครพนม!J50"")"),0)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IFERROR(__xludf.DUMMYFUNCTION("IMPORTRANGE(""https://docs.google.com/spreadsheets/d/1Yj_ptqi66GCucihVvJfMjLAmec39IyEx_6qawtMGysU/edit?usp=sharing"",""สบก!BA41"")"),0)</f>
        <v>0</v>
      </c>
      <c r="N122" s="169">
        <f ca="1">IFERROR(__xludf.DUMMYFUNCTION("IMPORTRANGE(""https://docs.google.com/spreadsheets/d/1Yj_ptqi66GCucihVvJfMjLAmec39IyEx_6qawtMGysU/edit?usp=sharing"",""สบก!BB41"")"),0)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IFERROR(__xludf.DUMMYFUNCTION("IMPORTRANGE(""https://docs.google.com/spreadsheets/d/1Yj_ptqi66GCucihVvJfMjLAmec39IyEx_6qawtMGysU/edit?usp=sharing"",""สบก!AX41"")"),0)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267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IFERROR(__xludf.DUMMYFUNCTION("IMPORTRANGE(""https://docs.google.com/spreadsheets/d/1XL5vhW3sbDhbH9Cz0tuDiY8C3ctxq1tqvaCgkFb8cCA/edit?usp=sharing"",""นครพนม!J65"")"),0)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IFERROR(__xludf.DUMMYFUNCTION("IMPORTRANGE(""https://docs.google.com/spreadsheets/d/1XL5vhW3sbDhbH9Cz0tuDiY8C3ctxq1tqvaCgkFb8cCA/edit?usp=sharing"",""นครพนม!I68"")"),0)</f>
        <v>0</v>
      </c>
      <c r="J138" s="267">
        <f ca="1">IFERROR(__xludf.DUMMYFUNCTION("IMPORTRANGE(""https://docs.google.com/spreadsheets/d/1XL5vhW3sbDhbH9Cz0tuDiY8C3ctxq1tqvaCgkFb8cCA/edit?usp=sharing"",""นครพนม!J68"")"),0)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72000</v>
      </c>
      <c r="M140" s="152">
        <f t="shared" ca="1" si="64"/>
        <v>70625</v>
      </c>
      <c r="N140" s="152">
        <f t="shared" ca="1" si="64"/>
        <v>51679.8</v>
      </c>
      <c r="O140" s="151">
        <f t="shared" ref="O140:O142" ca="1" si="65">IF(L140&gt;0,N140*100/L140,0)</f>
        <v>71.777500000000003</v>
      </c>
      <c r="P140" s="151">
        <f t="shared" ref="P140:P142" ca="1" si="66">IF(M140&gt;0,N140*100/M140,0)</f>
        <v>73.17493805309735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72000</v>
      </c>
      <c r="M142" s="157">
        <f t="shared" ca="1" si="68"/>
        <v>70625</v>
      </c>
      <c r="N142" s="157">
        <f t="shared" ca="1" si="68"/>
        <v>51679.8</v>
      </c>
      <c r="O142" s="156">
        <f t="shared" ca="1" si="65"/>
        <v>71.777500000000003</v>
      </c>
      <c r="P142" s="156">
        <f t="shared" ca="1" si="66"/>
        <v>73.17493805309735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72000</v>
      </c>
      <c r="M144" s="168">
        <f ca="1">IFERROR(__xludf.DUMMYFUNCTION("IMPORTRANGE(""https://docs.google.com/spreadsheets/d/1Yj_ptqi66GCucihVvJfMjLAmec39IyEx_6qawtMGysU/edit?usp=sharing"",""สบก!BJ41"")"),70625)</f>
        <v>70625</v>
      </c>
      <c r="N144" s="169">
        <f ca="1">IFERROR(__xludf.DUMMYFUNCTION("IMPORTRANGE(""https://docs.google.com/spreadsheets/d/1Yj_ptqi66GCucihVvJfMjLAmec39IyEx_6qawtMGysU/edit?usp=sharing"",""สบก!BK41"")"),51679.8)</f>
        <v>51679.8</v>
      </c>
      <c r="O144" s="169">
        <f ca="1">IF(L144&gt;0,N144*100/L144,0)</f>
        <v>71.777500000000003</v>
      </c>
      <c r="P144" s="169">
        <f ca="1">IF(M144&gt;0,N144*100/M144,0)</f>
        <v>73.17493805309735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IFERROR(__xludf.DUMMYFUNCTION("IMPORTRANGE(""https://docs.google.com/spreadsheets/d/1Yj_ptqi66GCucihVvJfMjLAmec39IyEx_6qawtMGysU/edit?usp=sharing"",""สบก!BG41"")"),72000)</f>
        <v>72000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IFERROR(__xludf.DUMMYFUNCTION("IMPORTRANGE(""https://docs.google.com/spreadsheets/d/1XL5vhW3sbDhbH9Cz0tuDiY8C3ctxq1tqvaCgkFb8cCA/edit?usp=sharing"",""นครพนม!I74"")"),4)</f>
        <v>4</v>
      </c>
      <c r="J149" s="275">
        <f ca="1">IFERROR(__xludf.DUMMYFUNCTION("IMPORTRANGE(""https://docs.google.com/spreadsheets/d/1XL5vhW3sbDhbH9Cz0tuDiY8C3ctxq1tqvaCgkFb8cCA/edit?usp=sharing"",""นครพนม!J74"")"),3)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IFERROR(__xludf.DUMMYFUNCTION("IMPORTRANGE(""https://docs.google.com/spreadsheets/d/1XL5vhW3sbDhbH9Cz0tuDiY8C3ctxq1tqvaCgkFb8cCA/edit?usp=sharing"",""นครพนม!J88"")"),0)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IFERROR(__xludf.DUMMYFUNCTION("IMPORTRANGE(""https://docs.google.com/spreadsheets/d/1XL5vhW3sbDhbH9Cz0tuDiY8C3ctxq1tqvaCgkFb8cCA/edit?usp=sharing"",""นครพนม!I89"")"),3)</f>
        <v>3</v>
      </c>
      <c r="J164" s="284">
        <f ca="1">IFERROR(__xludf.DUMMYFUNCTION("IMPORTRANGE(""https://docs.google.com/spreadsheets/d/1XL5vhW3sbDhbH9Cz0tuDiY8C3ctxq1tqvaCgkFb8cCA/edit?usp=sharing"",""นครพนม!J89"")"),3)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IFERROR(__xludf.DUMMYFUNCTION("IMPORTRANGE(""https://docs.google.com/spreadsheets/d/1XL5vhW3sbDhbH9Cz0tuDiY8C3ctxq1tqvaCgkFb8cCA/edit?usp=sharing"",""นครพนม!J100"")"),0)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IFERROR(__xludf.DUMMYFUNCTION("IMPORTRANGE(""https://docs.google.com/spreadsheets/d/1XL5vhW3sbDhbH9Cz0tuDiY8C3ctxq1tqvaCgkFb8cCA/edit?usp=sharing"",""นครพนม!I101"")"),1)</f>
        <v>1</v>
      </c>
      <c r="J176" s="284">
        <f ca="1">IFERROR(__xludf.DUMMYFUNCTION("IMPORTRANGE(""https://docs.google.com/spreadsheets/d/1XL5vhW3sbDhbH9Cz0tuDiY8C3ctxq1tqvaCgkFb8cCA/edit?usp=sharing"",""นครพนม!J101"")"),1)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4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IFERROR(__xludf.DUMMYFUNCTION("IMPORTRANGE(""https://docs.google.com/spreadsheets/d/1XL5vhW3sbDhbH9Cz0tuDiY8C3ctxq1tqvaCgkFb8cCA/edit?usp=sharing"",""นครพนม!J113"")"),0)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IFERROR(__xludf.DUMMYFUNCTION("IMPORTRANGE(""https://docs.google.com/spreadsheets/d/1XL5vhW3sbDhbH9Cz0tuDiY8C3ctxq1tqvaCgkFb8cCA/edit?usp=sharing"",""นครพนม!I114"")"),10000)</f>
        <v>10000</v>
      </c>
      <c r="J189" s="284">
        <f ca="1">IFERROR(__xludf.DUMMYFUNCTION("IMPORTRANGE(""https://docs.google.com/spreadsheets/d/1XL5vhW3sbDhbH9Cz0tuDiY8C3ctxq1tqvaCgkFb8cCA/edit?usp=sharing"",""นครพนม!J114"")"),0)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IFERROR(__xludf.DUMMYFUNCTION("IMPORTRANGE(""https://docs.google.com/spreadsheets/d/1XL5vhW3sbDhbH9Cz0tuDiY8C3ctxq1tqvaCgkFb8cCA/edit?usp=sharing"",""นครพนม!J128"")"),0)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IFERROR(__xludf.DUMMYFUNCTION("IMPORTRANGE(""https://docs.google.com/spreadsheets/d/1XL5vhW3sbDhbH9Cz0tuDiY8C3ctxq1tqvaCgkFb8cCA/edit?usp=sharing"",""นครพนม!I129"")"),0)</f>
        <v>0</v>
      </c>
      <c r="J204" s="284">
        <f ca="1">IFERROR(__xludf.DUMMYFUNCTION("IMPORTRANGE(""https://docs.google.com/spreadsheets/d/1XL5vhW3sbDhbH9Cz0tuDiY8C3ctxq1tqvaCgkFb8cCA/edit?usp=sharing"",""นครพนม!J129"")"),0)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IFERROR(__xludf.DUMMYFUNCTION("IMPORTRANGE(""https://docs.google.com/spreadsheets/d/1XL5vhW3sbDhbH9Cz0tuDiY8C3ctxq1tqvaCgkFb8cCA/edit?usp=sharing"",""นครพนม!J143"")"),0)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IFERROR(__xludf.DUMMYFUNCTION("IMPORTRANGE(""https://docs.google.com/spreadsheets/d/1XL5vhW3sbDhbH9Cz0tuDiY8C3ctxq1tqvaCgkFb8cCA/edit?usp=sharing"",""นครพนม!I144"")"),15)</f>
        <v>15</v>
      </c>
      <c r="J219" s="267">
        <f ca="1">IFERROR(__xludf.DUMMYFUNCTION("IMPORTRANGE(""https://docs.google.com/spreadsheets/d/1XL5vhW3sbDhbH9Cz0tuDiY8C3ctxq1tqvaCgkFb8cCA/edit?usp=sharing"",""นครพนม!J144"")"),15)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IFERROR(__xludf.DUMMYFUNCTION("IMPORTRANGE(""https://docs.google.com/spreadsheets/d/1XL5vhW3sbDhbH9Cz0tuDiY8C3ctxq1tqvaCgkFb8cCA/edit?usp=sharing"",""นครพนม!I149"")"),15)</f>
        <v>15</v>
      </c>
      <c r="J229" s="267">
        <f ca="1">IFERROR(__xludf.DUMMYFUNCTION("IMPORTRANGE(""https://docs.google.com/spreadsheets/d/1XL5vhW3sbDhbH9Cz0tuDiY8C3ctxq1tqvaCgkFb8cCA/edit?usp=sharing"",""นครพนม!J149"")"),15)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IFERROR(__xludf.DUMMYFUNCTION("IMPORTRANGE(""https://docs.google.com/spreadsheets/d/1XL5vhW3sbDhbH9Cz0tuDiY8C3ctxq1tqvaCgkFb8cCA/edit?usp=sharing"",""นครพนม!J157"")"),1)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IFERROR(__xludf.DUMMYFUNCTION("IMPORTRANGE(""https://docs.google.com/spreadsheets/d/1XL5vhW3sbDhbH9Cz0tuDiY8C3ctxq1tqvaCgkFb8cCA/edit?usp=sharing"",""นครพนม!I158"")"),0)</f>
        <v>0</v>
      </c>
      <c r="J238" s="267">
        <f ca="1">IFERROR(__xludf.DUMMYFUNCTION("IMPORTRANGE(""https://docs.google.com/spreadsheets/d/1XL5vhW3sbDhbH9Cz0tuDiY8C3ctxq1tqvaCgkFb8cCA/edit?usp=sharing"",""นครพนม!J158"")"),0)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IFERROR(__xludf.DUMMYFUNCTION("IMPORTRANGE(""https://docs.google.com/spreadsheets/d/1XL5vhW3sbDhbH9Cz0tuDiY8C3ctxq1tqvaCgkFb8cCA/edit?usp=sharing"",""นครพนม!J166"")"),0)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IFERROR(__xludf.DUMMYFUNCTION("IMPORTRANGE(""https://docs.google.com/spreadsheets/d/1XL5vhW3sbDhbH9Cz0tuDiY8C3ctxq1tqvaCgkFb8cCA/edit?usp=sharing"",""นครพนม!I169"")"),25)</f>
        <v>25</v>
      </c>
      <c r="J249" s="316">
        <f ca="1">IFERROR(__xludf.DUMMYFUNCTION("IMPORTRANGE(""https://docs.google.com/spreadsheets/d/1XL5vhW3sbDhbH9Cz0tuDiY8C3ctxq1tqvaCgkFb8cCA/edit?usp=sharing"",""นครพนม!J169"")"),25)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146500</v>
      </c>
      <c r="N250" s="152">
        <f t="shared" ca="1" si="77"/>
        <v>98035</v>
      </c>
      <c r="O250" s="151">
        <f t="shared" ref="O250:O252" ca="1" si="78">IF(L250&gt;0,N250*100/L250,0)</f>
        <v>44.359728506787327</v>
      </c>
      <c r="P250" s="151">
        <f t="shared" ref="P250:P252" ca="1" si="79">IF(M250&gt;0,N250*100/M250,0)</f>
        <v>66.918088737201359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146500</v>
      </c>
      <c r="N252" s="157">
        <f t="shared" ca="1" si="81"/>
        <v>98035</v>
      </c>
      <c r="O252" s="156">
        <f t="shared" ca="1" si="78"/>
        <v>44.359728506787327</v>
      </c>
      <c r="P252" s="156">
        <f t="shared" ca="1" si="79"/>
        <v>66.918088737201359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IFERROR(__xludf.DUMMYFUNCTION("IMPORTRANGE(""https://docs.google.com/spreadsheets/d/1Yj_ptqi66GCucihVvJfMjLAmec39IyEx_6qawtMGysU/edit?usp=sharing"",""สบก!CB41"")"),146500)</f>
        <v>146500</v>
      </c>
      <c r="N254" s="169">
        <f ca="1">IFERROR(__xludf.DUMMYFUNCTION("IMPORTRANGE(""https://docs.google.com/spreadsheets/d/1Yj_ptqi66GCucihVvJfMjLAmec39IyEx_6qawtMGysU/edit?usp=sharing"",""สบก!CC41"")"),98035)</f>
        <v>98035</v>
      </c>
      <c r="O254" s="169">
        <f ca="1">IF(L254&gt;0,N254*100/L254,0)</f>
        <v>44.359728506787327</v>
      </c>
      <c r="P254" s="169">
        <f ca="1">IF(M254&gt;0,N254*100/M254,0)</f>
        <v>66.918088737201359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IFERROR(__xludf.DUMMYFUNCTION("IMPORTRANGE(""https://docs.google.com/spreadsheets/d/1XL5vhW3sbDhbH9Cz0tuDiY8C3ctxq1tqvaCgkFb8cCA/edit?usp=sharing"",""นครพนม!J184"")"),0)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IFERROR(__xludf.DUMMYFUNCTION("IMPORTRANGE(""https://docs.google.com/spreadsheets/d/1XL5vhW3sbDhbH9Cz0tuDiY8C3ctxq1tqvaCgkFb8cCA/edit?usp=sharing"",""นครพนม!I185"")"),0)</f>
        <v>0</v>
      </c>
      <c r="J270" s="316">
        <f ca="1">IFERROR(__xludf.DUMMYFUNCTION("IMPORTRANGE(""https://docs.google.com/spreadsheets/d/1XL5vhW3sbDhbH9Cz0tuDiY8C3ctxq1tqvaCgkFb8cCA/edit?usp=sharing"",""นครพนม!J185"")"),0)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IFERROR(__xludf.DUMMYFUNCTION("IMPORTRANGE(""https://docs.google.com/spreadsheets/d/1XL5vhW3sbDhbH9Cz0tuDiY8C3ctxq1tqvaCgkFb8cCA/edit?usp=sharing"",""นครพนม!I199"")"),0)</f>
        <v>0</v>
      </c>
      <c r="J289" s="316">
        <f ca="1">IFERROR(__xludf.DUMMYFUNCTION("IMPORTRANGE(""https://docs.google.com/spreadsheets/d/1XL5vhW3sbDhbH9Cz0tuDiY8C3ctxq1tqvaCgkFb8cCA/edit?usp=sharing"",""นครพนม!J199"")"),0)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IFERROR(__xludf.DUMMYFUNCTION("IMPORTRANGE(""https://docs.google.com/spreadsheets/d/1XL5vhW3sbDhbH9Cz0tuDiY8C3ctxq1tqvaCgkFb8cCA/edit?usp=sharing"",""นครพนม!J213"")"),0)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IFERROR(__xludf.DUMMYFUNCTION("IMPORTRANGE(""https://docs.google.com/spreadsheets/d/1XL5vhW3sbDhbH9Cz0tuDiY8C3ctxq1tqvaCgkFb8cCA/edit?usp=sharing"",""นครพนม!I214"")"),0)</f>
        <v>0</v>
      </c>
      <c r="J309" s="333">
        <f ca="1">IFERROR(__xludf.DUMMYFUNCTION("IMPORTRANGE(""https://docs.google.com/spreadsheets/d/1XL5vhW3sbDhbH9Cz0tuDiY8C3ctxq1tqvaCgkFb8cCA/edit?usp=sharing"",""นครพนม!J214"")"),0)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IFERROR(__xludf.DUMMYFUNCTION("IMPORTRANGE(""https://docs.google.com/spreadsheets/d/1XL5vhW3sbDhbH9Cz0tuDiY8C3ctxq1tqvaCgkFb8cCA/edit?usp=sharing"",""นครพนม!J226"")"),0)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IFERROR(__xludf.DUMMYFUNCTION("IMPORTRANGE(""https://docs.google.com/spreadsheets/d/1XL5vhW3sbDhbH9Cz0tuDiY8C3ctxq1tqvaCgkFb8cCA/edit?usp=sharing"",""นครพนม!I228"")"),490)</f>
        <v>490</v>
      </c>
      <c r="J328" s="339">
        <f ca="1">IFERROR(__xludf.DUMMYFUNCTION("IMPORTRANGE(""https://docs.google.com/spreadsheets/d/1XL5vhW3sbDhbH9Cz0tuDiY8C3ctxq1tqvaCgkFb8cCA/edit?usp=sharing"",""นครพนม!J228"")"),57)</f>
        <v>57</v>
      </c>
      <c r="K328" s="317">
        <f ca="1">IF(I328&gt;0,J328*100/I328,0)</f>
        <v>11.63265306122449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921070</v>
      </c>
      <c r="M329" s="152">
        <f t="shared" ca="1" si="98"/>
        <v>700750</v>
      </c>
      <c r="N329" s="152">
        <f t="shared" ca="1" si="98"/>
        <v>514585.86</v>
      </c>
      <c r="O329" s="151">
        <f t="shared" ref="O329:O331" ca="1" si="99">IF(L329&gt;0,N329*100/L329,0)</f>
        <v>55.868268426938236</v>
      </c>
      <c r="P329" s="151">
        <f t="shared" ref="P329:P331" ca="1" si="100">IF(M329&gt;0,N329*100/M329,0)</f>
        <v>73.433586871209414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921070</v>
      </c>
      <c r="M331" s="157">
        <f t="shared" ca="1" si="102"/>
        <v>700750</v>
      </c>
      <c r="N331" s="157">
        <f t="shared" ca="1" si="102"/>
        <v>514585.86</v>
      </c>
      <c r="O331" s="156">
        <f t="shared" ca="1" si="99"/>
        <v>55.868268426938236</v>
      </c>
      <c r="P331" s="156">
        <f t="shared" ca="1" si="100"/>
        <v>73.433586871209414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821770</v>
      </c>
      <c r="M333" s="168">
        <f ca="1">IFERROR(__xludf.DUMMYFUNCTION("IMPORTRANGE(""https://docs.google.com/spreadsheets/d/1Yj_ptqi66GCucihVvJfMjLAmec39IyEx_6qawtMGysU/edit?usp=sharing"",""สบก!DL41"")"),601450)</f>
        <v>601450</v>
      </c>
      <c r="N333" s="169">
        <f ca="1">IFERROR(__xludf.DUMMYFUNCTION("IMPORTRANGE(""https://docs.google.com/spreadsheets/d/1Yj_ptqi66GCucihVvJfMjLAmec39IyEx_6qawtMGysU/edit?usp=sharing"",""สบก!DM41"")"),415285.86)</f>
        <v>415285.86</v>
      </c>
      <c r="O333" s="169">
        <f ca="1">IF(L333&gt;0,N333*100/L333,0)</f>
        <v>50.535534273580197</v>
      </c>
      <c r="P333" s="169">
        <f ca="1">IF(M333&gt;0,N333*100/M333,0)</f>
        <v>69.047445340427302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IFERROR(__xludf.DUMMYFUNCTION("IMPORTRANGE(""https://docs.google.com/spreadsheets/d/1Yj_ptqi66GCucihVvJfMjLAmec39IyEx_6qawtMGysU/edit?usp=sharing"",""สบก!DI41"")"),432970)</f>
        <v>432970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IFERROR(__xludf.DUMMYFUNCTION("IMPORTRANGE(""https://docs.google.com/spreadsheets/d/1XL5vhW3sbDhbH9Cz0tuDiY8C3ctxq1tqvaCgkFb8cCA/edit?usp=sharing"",""นครพนม!J234"")"),98)</f>
        <v>98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IFERROR(__xludf.DUMMYFUNCTION("IMPORTRANGE(""https://docs.google.com/spreadsheets/d/1XL5vhW3sbDhbH9Cz0tuDiY8C3ctxq1tqvaCgkFb8cCA/edit?usp=sharing"",""นครพนม!J235"")"),986.11)</f>
        <v>986.11</v>
      </c>
      <c r="K340" s="342">
        <f t="shared" ca="1" si="103"/>
        <v>42.141452991452994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IFERROR(__xludf.DUMMYFUNCTION("IMPORTRANGE(""https://docs.google.com/spreadsheets/d/1XL5vhW3sbDhbH9Cz0tuDiY8C3ctxq1tqvaCgkFb8cCA/edit?usp=sharing"",""นครพนม!I236"")"),490)</f>
        <v>490</v>
      </c>
      <c r="J341" s="188">
        <f ca="1">IFERROR(__xludf.DUMMYFUNCTION("IMPORTRANGE(""https://docs.google.com/spreadsheets/d/1XL5vhW3sbDhbH9Cz0tuDiY8C3ctxq1tqvaCgkFb8cCA/edit?usp=sharing"",""นครพนม!J236"")"),164)</f>
        <v>164</v>
      </c>
      <c r="K341" s="342">
        <f t="shared" ca="1" si="103"/>
        <v>33.469387755102041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IFERROR(__xludf.DUMMYFUNCTION("IMPORTRANGE(""https://docs.google.com/spreadsheets/d/1XL5vhW3sbDhbH9Cz0tuDiY8C3ctxq1tqvaCgkFb8cCA/edit?usp=sharing"",""นครพนม!J237"")"),1596.31)</f>
        <v>1596.31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IFERROR(__xludf.DUMMYFUNCTION("IMPORTRANGE(""https://docs.google.com/spreadsheets/d/1XL5vhW3sbDhbH9Cz0tuDiY8C3ctxq1tqvaCgkFb8cCA/edit?usp=sharing"",""นครพนม!I238"")"),490)</f>
        <v>490</v>
      </c>
      <c r="J343" s="188">
        <f ca="1">IFERROR(__xludf.DUMMYFUNCTION("IMPORTRANGE(""https://docs.google.com/spreadsheets/d/1XL5vhW3sbDhbH9Cz0tuDiY8C3ctxq1tqvaCgkFb8cCA/edit?usp=sharing"",""นครพนม!J238"")"),0)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IFERROR(__xludf.DUMMYFUNCTION("IMPORTRANGE(""https://docs.google.com/spreadsheets/d/1XL5vhW3sbDhbH9Cz0tuDiY8C3ctxq1tqvaCgkFb8cCA/edit?usp=sharing"",""นครพนม!I240"")"),490)</f>
        <v>490</v>
      </c>
      <c r="J345" s="188">
        <f ca="1">IFERROR(__xludf.DUMMYFUNCTION("IMPORTRANGE(""https://docs.google.com/spreadsheets/d/1XL5vhW3sbDhbH9Cz0tuDiY8C3ctxq1tqvaCgkFb8cCA/edit?usp=sharing"",""นครพนม!J240"")"),57)</f>
        <v>57</v>
      </c>
      <c r="K345" s="342">
        <f t="shared" ca="1" si="103"/>
        <v>11.63265306122449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IFERROR(__xludf.DUMMYFUNCTION("IMPORTRANGE(""https://docs.google.com/spreadsheets/d/1XL5vhW3sbDhbH9Cz0tuDiY8C3ctxq1tqvaCgkFb8cCA/edit?usp=sharing"",""นครพนม!J241"")"),614.2)</f>
        <v>614.20000000000005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IFERROR(__xludf.DUMMYFUNCTION("IMPORTRANGE(""https://docs.google.com/spreadsheets/d/1XL5vhW3sbDhbH9Cz0tuDiY8C3ctxq1tqvaCgkFb8cCA/edit?usp=sharing"",""นครพนม!L242"")"),2036359)</f>
        <v>2036359</v>
      </c>
      <c r="M347" s="358"/>
      <c r="N347" s="358">
        <f ca="1">IFERROR(__xludf.DUMMYFUNCTION("IMPORTRANGE(""https://docs.google.com/spreadsheets/d/1XL5vhW3sbDhbH9Cz0tuDiY8C3ctxq1tqvaCgkFb8cCA/edit?usp=sharing"",""นครพนม!M242"")"),545131.26)</f>
        <v>545131.26</v>
      </c>
      <c r="O347" s="358">
        <f ca="1">+IF(L347&gt;0,N347*100/L347,0)</f>
        <v>26.769899610039289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IFERROR(__xludf.DUMMYFUNCTION("IMPORTRANGE(""https://docs.google.com/spreadsheets/d/1XL5vhW3sbDhbH9Cz0tuDiY8C3ctxq1tqvaCgkFb8cCA/edit?usp=sharing"",""นครพนม!M244"")"),122043)</f>
        <v>122043</v>
      </c>
      <c r="O349" s="373">
        <f ca="1">+IF(L349&gt;0,N349*100/L349,0)</f>
        <v>40.659315031982942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IFERROR(__xludf.DUMMYFUNCTION("IMPORTRANGE(""https://docs.google.com/spreadsheets/d/1XL5vhW3sbDhbH9Cz0tuDiY8C3ctxq1tqvaCgkFb8cCA/edit?usp=sharing"",""นครพนม!M247"")"),122043)</f>
        <v>122043</v>
      </c>
      <c r="O352" s="165">
        <f t="shared" ca="1" si="105"/>
        <v>40.659315031982942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IFERROR(__xludf.DUMMYFUNCTION("IMPORTRANGE(""https://docs.google.com/spreadsheets/d/1XL5vhW3sbDhbH9Cz0tuDiY8C3ctxq1tqvaCgkFb8cCA/edit?usp=sharing"",""นครพนม!M249"")"),122043)</f>
        <v>122043</v>
      </c>
      <c r="O354" s="169">
        <f t="shared" ca="1" si="105"/>
        <v>40.659315031982942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IFERROR(__xludf.DUMMYFUNCTION("IMPORTRANGE(""https://docs.google.com/spreadsheets/d/1XL5vhW3sbDhbH9Cz0tuDiY8C3ctxq1tqvaCgkFb8cCA/edit?usp=sharing"",""นครพนม!M250"")"),19170)</f>
        <v>19170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IFERROR(__xludf.DUMMYFUNCTION("IMPORTRANGE(""https://docs.google.com/spreadsheets/d/1XL5vhW3sbDhbH9Cz0tuDiY8C3ctxq1tqvaCgkFb8cCA/edit?usp=sharing"",""นครพนม!M251"")"),32000)</f>
        <v>32000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IFERROR(__xludf.DUMMYFUNCTION("IMPORTRANGE(""https://docs.google.com/spreadsheets/d/1XL5vhW3sbDhbH9Cz0tuDiY8C3ctxq1tqvaCgkFb8cCA/edit?usp=sharing"",""นครพนม!M252"")"),63871)</f>
        <v>63871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IFERROR(__xludf.DUMMYFUNCTION("IMPORTRANGE(""https://docs.google.com/spreadsheets/d/1XL5vhW3sbDhbH9Cz0tuDiY8C3ctxq1tqvaCgkFb8cCA/edit?usp=sharing"",""นครพนม!M253"")"),7002)</f>
        <v>7002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IFERROR(__xludf.DUMMYFUNCTION("IMPORTRANGE(""https://docs.google.com/spreadsheets/d/1XL5vhW3sbDhbH9Cz0tuDiY8C3ctxq1tqvaCgkFb8cCA/edit?usp=sharing"",""นครพนม!J274"")"),0)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IFERROR(__xludf.DUMMYFUNCTION("IMPORTRANGE(""https://docs.google.com/spreadsheets/d/1XL5vhW3sbDhbH9Cz0tuDiY8C3ctxq1tqvaCgkFb8cCA/edit?usp=sharing"",""นครพนม!M275"")"),158188.65)</f>
        <v>158188.65</v>
      </c>
      <c r="O380" s="373">
        <f ca="1">+IF(L380&gt;0,N380*100/L380,0)</f>
        <v>15.380221094388054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IFERROR(__xludf.DUMMYFUNCTION("IMPORTRANGE(""https://docs.google.com/spreadsheets/d/1XL5vhW3sbDhbH9Cz0tuDiY8C3ctxq1tqvaCgkFb8cCA/edit?usp=sharing"",""นครพนม!M278"")"),158188.65)</f>
        <v>158188.65</v>
      </c>
      <c r="O383" s="165">
        <f t="shared" ca="1" si="109"/>
        <v>15.380221094388054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IFERROR(__xludf.DUMMYFUNCTION("IMPORTRANGE(""https://docs.google.com/spreadsheets/d/1XL5vhW3sbDhbH9Cz0tuDiY8C3ctxq1tqvaCgkFb8cCA/edit?usp=sharing"",""นครพนม!M280"")"),158188.65)</f>
        <v>158188.65</v>
      </c>
      <c r="O385" s="169">
        <f t="shared" ca="1" si="109"/>
        <v>15.380221094388054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IFERROR(__xludf.DUMMYFUNCTION("IMPORTRANGE(""https://docs.google.com/spreadsheets/d/1XL5vhW3sbDhbH9Cz0tuDiY8C3ctxq1tqvaCgkFb8cCA/edit?usp=sharing"",""นครพนม!M281"")"),100822.13)</f>
        <v>100822.13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IFERROR(__xludf.DUMMYFUNCTION("IMPORTRANGE(""https://docs.google.com/spreadsheets/d/1XL5vhW3sbDhbH9Cz0tuDiY8C3ctxq1tqvaCgkFb8cCA/edit?usp=sharing"",""นครพนม!M283"")"),51806.52)</f>
        <v>51806.52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IFERROR(__xludf.DUMMYFUNCTION("IMPORTRANGE(""https://docs.google.com/spreadsheets/d/1XL5vhW3sbDhbH9Cz0tuDiY8C3ctxq1tqvaCgkFb8cCA/edit?usp=sharing"",""นครพนม!M284"")"),5560)</f>
        <v>5560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IFERROR(__xludf.DUMMYFUNCTION("IMPORTRANGE(""https://docs.google.com/spreadsheets/d/1XL5vhW3sbDhbH9Cz0tuDiY8C3ctxq1tqvaCgkFb8cCA/edit?usp=sharing"",""นครพนม!J295"")"),0)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IFERROR(__xludf.DUMMYFUNCTION("IMPORTRANGE(""https://docs.google.com/spreadsheets/d/1XL5vhW3sbDhbH9Cz0tuDiY8C3ctxq1tqvaCgkFb8cCA/edit?usp=sharing"",""นครพนม!M296"")"),73995.8)</f>
        <v>73995.8</v>
      </c>
      <c r="O401" s="373">
        <f ca="1">+IF(L401&gt;0,N401*100/L401,0)</f>
        <v>51.186912008854456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IFERROR(__xludf.DUMMYFUNCTION("IMPORTRANGE(""https://docs.google.com/spreadsheets/d/1XL5vhW3sbDhbH9Cz0tuDiY8C3ctxq1tqvaCgkFb8cCA/edit?usp=sharing"",""นครพนม!M299"")"),73995.8)</f>
        <v>73995.8</v>
      </c>
      <c r="O404" s="169">
        <f t="shared" ca="1" si="112"/>
        <v>51.186912008854456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IFERROR(__xludf.DUMMYFUNCTION("IMPORTRANGE(""https://docs.google.com/spreadsheets/d/1XL5vhW3sbDhbH9Cz0tuDiY8C3ctxq1tqvaCgkFb8cCA/edit?usp=sharing"",""นครพนม!M301"")"),73995.8)</f>
        <v>73995.8</v>
      </c>
      <c r="O406" s="169">
        <f t="shared" ca="1" si="112"/>
        <v>51.186912008854456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IFERROR(__xludf.DUMMYFUNCTION("IMPORTRANGE(""https://docs.google.com/spreadsheets/d/1XL5vhW3sbDhbH9Cz0tuDiY8C3ctxq1tqvaCgkFb8cCA/edit?usp=sharing"",""นครพนม!M302"")"),54195.8)</f>
        <v>54195.8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IFERROR(__xludf.DUMMYFUNCTION("IMPORTRANGE(""https://docs.google.com/spreadsheets/d/1XL5vhW3sbDhbH9Cz0tuDiY8C3ctxq1tqvaCgkFb8cCA/edit?usp=sharing"",""นครพนม!M303"")"),15000)</f>
        <v>15000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IFERROR(__xludf.DUMMYFUNCTION("IMPORTRANGE(""https://docs.google.com/spreadsheets/d/1XL5vhW3sbDhbH9Cz0tuDiY8C3ctxq1tqvaCgkFb8cCA/edit?usp=sharing"",""นครพนม!M305"")"),4800)</f>
        <v>4800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IFERROR(__xludf.DUMMYFUNCTION("IMPORTRANGE(""https://docs.google.com/spreadsheets/d/1XL5vhW3sbDhbH9Cz0tuDiY8C3ctxq1tqvaCgkFb8cCA/edit?usp=sharing"",""นครพนม!J325"")"),10)</f>
        <v>10</v>
      </c>
      <c r="K430" s="202">
        <f t="shared" ca="1" si="113"/>
        <v>33.333333333333336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IFERROR(__xludf.DUMMYFUNCTION("IMPORTRANGE(""https://docs.google.com/spreadsheets/d/1XL5vhW3sbDhbH9Cz0tuDiY8C3ctxq1tqvaCgkFb8cCA/edit?usp=sharing"",""นครพนม!J329"")"),0)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IFERROR(__xludf.DUMMYFUNCTION("IMPORTRANGE(""https://docs.google.com/spreadsheets/d/1XL5vhW3sbDhbH9Cz0tuDiY8C3ctxq1tqvaCgkFb8cCA/edit?usp=sharing"",""นครพนม!M330"")"),33347.65)</f>
        <v>33347.65</v>
      </c>
      <c r="O435" s="412">
        <f t="shared" ref="O435:O439" ca="1" si="114">+IF(L435&gt;0,N435*100/L435,0)</f>
        <v>30.178868778280542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IFERROR(__xludf.DUMMYFUNCTION("IMPORTRANGE(""https://docs.google.com/spreadsheets/d/1XL5vhW3sbDhbH9Cz0tuDiY8C3ctxq1tqvaCgkFb8cCA/edit?usp=sharing"",""นครพนม!M332"")"),33347.65)</f>
        <v>33347.65</v>
      </c>
      <c r="O437" s="169">
        <f t="shared" ca="1" si="114"/>
        <v>30.178868778280542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IFERROR(__xludf.DUMMYFUNCTION("IMPORTRANGE(""https://docs.google.com/spreadsheets/d/1XL5vhW3sbDhbH9Cz0tuDiY8C3ctxq1tqvaCgkFb8cCA/edit?usp=sharing"",""นครพนม!M334"")"),33347.65)</f>
        <v>33347.65</v>
      </c>
      <c r="O439" s="169">
        <f t="shared" ca="1" si="114"/>
        <v>30.178868778280542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IFERROR(__xludf.DUMMYFUNCTION("IMPORTRANGE(""https://docs.google.com/spreadsheets/d/1XL5vhW3sbDhbH9Cz0tuDiY8C3ctxq1tqvaCgkFb8cCA/edit?usp=sharing"",""นครพนม!M335"")"),33347.65)</f>
        <v>33347.65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IFERROR(__xludf.DUMMYFUNCTION("IMPORTRANGE(""https://docs.google.com/spreadsheets/d/1XL5vhW3sbDhbH9Cz0tuDiY8C3ctxq1tqvaCgkFb8cCA/edit?usp=sharing"",""นครพนม!J349"")"),0)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IFERROR(__xludf.DUMMYFUNCTION("IMPORTRANGE(""https://docs.google.com/spreadsheets/d/1XL5vhW3sbDhbH9Cz0tuDiY8C3ctxq1tqvaCgkFb8cCA/edit?usp=sharing"",""นครพนม!J350"")"),24858)</f>
        <v>24858</v>
      </c>
      <c r="K455" s="372">
        <f ca="1">IF(I455&gt;0,J455*100/I455,0)</f>
        <v>83.573157611619152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IFERROR(__xludf.DUMMYFUNCTION("IMPORTRANGE(""https://docs.google.com/spreadsheets/d/1XL5vhW3sbDhbH9Cz0tuDiY8C3ctxq1tqvaCgkFb8cCA/edit?usp=sharing"",""นครพนม!M350"")"),68450)</f>
        <v>68450</v>
      </c>
      <c r="O455" s="373">
        <f t="shared" ref="O455:O459" ca="1" si="116">+IF(L455&gt;0,N455*100/L455,0)</f>
        <v>25.009225463008633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IFERROR(__xludf.DUMMYFUNCTION("IMPORTRANGE(""https://docs.google.com/spreadsheets/d/1XL5vhW3sbDhbH9Cz0tuDiY8C3ctxq1tqvaCgkFb8cCA/edit?usp=sharing"",""นครพนม!M352"")"),68450)</f>
        <v>68450</v>
      </c>
      <c r="O457" s="169">
        <f t="shared" ca="1" si="116"/>
        <v>25.009225463008633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IFERROR(__xludf.DUMMYFUNCTION("IMPORTRANGE(""https://docs.google.com/spreadsheets/d/1XL5vhW3sbDhbH9Cz0tuDiY8C3ctxq1tqvaCgkFb8cCA/edit?usp=sharing"",""นครพนม!M354"")"),68450)</f>
        <v>68450</v>
      </c>
      <c r="O459" s="169">
        <f t="shared" ca="1" si="116"/>
        <v>25.009225463008633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IFERROR(__xludf.DUMMYFUNCTION("IMPORTRANGE(""https://docs.google.com/spreadsheets/d/1XL5vhW3sbDhbH9Cz0tuDiY8C3ctxq1tqvaCgkFb8cCA/edit?usp=sharing"",""นครพนม!M358"")"),68450)</f>
        <v>68450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IFERROR(__xludf.DUMMYFUNCTION("IMPORTRANGE(""https://docs.google.com/spreadsheets/d/1XL5vhW3sbDhbH9Cz0tuDiY8C3ctxq1tqvaCgkFb8cCA/edit?usp=sharing"",""นครพนม!I359"")"),29744)</f>
        <v>29744</v>
      </c>
      <c r="J464" s="267">
        <f ca="1">IFERROR(__xludf.DUMMYFUNCTION("IMPORTRANGE(""https://docs.google.com/spreadsheets/d/1XL5vhW3sbDhbH9Cz0tuDiY8C3ctxq1tqvaCgkFb8cCA/edit?usp=sharing"",""นครพนม!J359"")"),24858)</f>
        <v>24858</v>
      </c>
      <c r="K464" s="268">
        <f t="shared" ref="K464:K515" ca="1" si="117">IF(I464&gt;0,J464*100/I464,0)</f>
        <v>83.573157611619152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IFERROR(__xludf.DUMMYFUNCTION("IMPORTRANGE(""https://docs.google.com/spreadsheets/d/1XL5vhW3sbDhbH9Cz0tuDiY8C3ctxq1tqvaCgkFb8cCA/edit?usp=sharing"",""นครพนม!J376"")"),24858)</f>
        <v>24858</v>
      </c>
      <c r="K481" s="202">
        <f t="shared" ca="1" si="117"/>
        <v>83.573157611619152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IFERROR(__xludf.DUMMYFUNCTION("IMPORTRANGE(""https://docs.google.com/spreadsheets/d/1XL5vhW3sbDhbH9Cz0tuDiY8C3ctxq1tqvaCgkFb8cCA/edit?usp=sharing"",""นครพนม!J377"")"),2246)</f>
        <v>2246</v>
      </c>
      <c r="K482" s="202">
        <f t="shared" ca="1" si="117"/>
        <v>85.399239543726239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IFERROR(__xludf.DUMMYFUNCTION("IMPORTRANGE(""https://docs.google.com/spreadsheets/d/1XL5vhW3sbDhbH9Cz0tuDiY8C3ctxq1tqvaCgkFb8cCA/edit?usp=sharing"",""นครพนม!J378"")"),24858)</f>
        <v>24858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IFERROR(__xludf.DUMMYFUNCTION("IMPORTRANGE(""https://docs.google.com/spreadsheets/d/1XL5vhW3sbDhbH9Cz0tuDiY8C3ctxq1tqvaCgkFb8cCA/edit?usp=sharing"",""นครพนม!J379"")"),2246)</f>
        <v>2246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IFERROR(__xludf.DUMMYFUNCTION("IMPORTRANGE(""https://docs.google.com/spreadsheets/d/1XL5vhW3sbDhbH9Cz0tuDiY8C3ctxq1tqvaCgkFb8cCA/edit?usp=sharing"",""นครพนม!J392"")"),662)</f>
        <v>662</v>
      </c>
      <c r="K497" s="444">
        <f t="shared" ca="1" si="117"/>
        <v>31.857555341674686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IFERROR(__xludf.DUMMYFUNCTION("IMPORTRANGE(""https://docs.google.com/spreadsheets/d/1XL5vhW3sbDhbH9Cz0tuDiY8C3ctxq1tqvaCgkFb8cCA/edit?usp=sharing"",""นครพนม!J393"")"),662)</f>
        <v>662</v>
      </c>
      <c r="K498" s="202">
        <f t="shared" ca="1" si="117"/>
        <v>31.857555341674686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IFERROR(__xludf.DUMMYFUNCTION("IMPORTRANGE(""https://docs.google.com/spreadsheets/d/1XL5vhW3sbDhbH9Cz0tuDiY8C3ctxq1tqvaCgkFb8cCA/edit?usp=sharing"",""นครพนม!J394"")"),107)</f>
        <v>107</v>
      </c>
      <c r="K499" s="202">
        <f t="shared" ca="1" si="117"/>
        <v>39.92537313432836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IFERROR(__xludf.DUMMYFUNCTION("IMPORTRANGE(""https://docs.google.com/spreadsheets/d/1XL5vhW3sbDhbH9Cz0tuDiY8C3ctxq1tqvaCgkFb8cCA/edit?usp=sharing"",""นครพนม!J395"")"),662)</f>
        <v>662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IFERROR(__xludf.DUMMYFUNCTION("IMPORTRANGE(""https://docs.google.com/spreadsheets/d/1XL5vhW3sbDhbH9Cz0tuDiY8C3ctxq1tqvaCgkFb8cCA/edit?usp=sharing"",""นครพนม!J396"")"),107)</f>
        <v>107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IFERROR(__xludf.DUMMYFUNCTION("IMPORTRANGE(""https://docs.google.com/spreadsheets/d/1XL5vhW3sbDhbH9Cz0tuDiY8C3ctxq1tqvaCgkFb8cCA/edit?usp=sharing"",""นครพนม!J397"")"),641)</f>
        <v>641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IFERROR(__xludf.DUMMYFUNCTION("IMPORTRANGE(""https://docs.google.com/spreadsheets/d/1XL5vhW3sbDhbH9Cz0tuDiY8C3ctxq1tqvaCgkFb8cCA/edit?usp=sharing"",""นครพนม!J398"")"),103)</f>
        <v>103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IFERROR(__xludf.DUMMYFUNCTION("IMPORTRANGE(""https://docs.google.com/spreadsheets/d/1XL5vhW3sbDhbH9Cz0tuDiY8C3ctxq1tqvaCgkFb8cCA/edit?usp=sharing"",""นครพนม!J399"")"),21)</f>
        <v>21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IFERROR(__xludf.DUMMYFUNCTION("IMPORTRANGE(""https://docs.google.com/spreadsheets/d/1XL5vhW3sbDhbH9Cz0tuDiY8C3ctxq1tqvaCgkFb8cCA/edit?usp=sharing"",""นครพนม!J400"")"),4)</f>
        <v>4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IFERROR(__xludf.DUMMYFUNCTION("IMPORTRANGE(""https://docs.google.com/spreadsheets/d/1XL5vhW3sbDhbH9Cz0tuDiY8C3ctxq1tqvaCgkFb8cCA/edit?usp=sharing"",""นครพนม!I411"")"),0)</f>
        <v>0</v>
      </c>
      <c r="J516" s="267">
        <f ca="1">IFERROR(__xludf.DUMMYFUNCTION("IMPORTRANGE(""https://docs.google.com/spreadsheets/d/1XL5vhW3sbDhbH9Cz0tuDiY8C3ctxq1tqvaCgkFb8cCA/edit?usp=sharing"",""นครพนม!J411"")"),0)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IFERROR(__xludf.DUMMYFUNCTION("IMPORTRANGE(""https://docs.google.com/spreadsheets/d/1XL5vhW3sbDhbH9Cz0tuDiY8C3ctxq1tqvaCgkFb8cCA/edit?usp=sharing"",""นครพนม!I412"")"),0)</f>
        <v>0</v>
      </c>
      <c r="J517" s="284">
        <f ca="1">IFERROR(__xludf.DUMMYFUNCTION("IMPORTRANGE(""https://docs.google.com/spreadsheets/d/1XL5vhW3sbDhbH9Cz0tuDiY8C3ctxq1tqvaCgkFb8cCA/edit?usp=sharing"",""นครพนม!J412"")"),0)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IFERROR(__xludf.DUMMYFUNCTION("IMPORTRANGE(""https://docs.google.com/spreadsheets/d/1XL5vhW3sbDhbH9Cz0tuDiY8C3ctxq1tqvaCgkFb8cCA/edit?usp=sharing"",""นครพนม!I413"")"),0)</f>
        <v>0</v>
      </c>
      <c r="J518" s="284">
        <f ca="1">IFERROR(__xludf.DUMMYFUNCTION("IMPORTRANGE(""https://docs.google.com/spreadsheets/d/1XL5vhW3sbDhbH9Cz0tuDiY8C3ctxq1tqvaCgkFb8cCA/edit?usp=sharing"",""นครพนม!J413"")"),0)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IFERROR(__xludf.DUMMYFUNCTION("IMPORTRANGE(""https://docs.google.com/spreadsheets/d/1XL5vhW3sbDhbH9Cz0tuDiY8C3ctxq1tqvaCgkFb8cCA/edit?usp=sharing"",""นครพนม!I420"")"),0)</f>
        <v>0</v>
      </c>
      <c r="J525" s="284">
        <f ca="1">IFERROR(__xludf.DUMMYFUNCTION("IMPORTRANGE(""https://docs.google.com/spreadsheets/d/1XL5vhW3sbDhbH9Cz0tuDiY8C3ctxq1tqvaCgkFb8cCA/edit?usp=sharing"",""นครพนม!J420"")"),0)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IFERROR(__xludf.DUMMYFUNCTION("IMPORTRANGE(""https://docs.google.com/spreadsheets/d/1XL5vhW3sbDhbH9Cz0tuDiY8C3ctxq1tqvaCgkFb8cCA/edit?usp=sharing"",""นครพนม!I421"")"),0)</f>
        <v>0</v>
      </c>
      <c r="J526" s="284">
        <f ca="1">IFERROR(__xludf.DUMMYFUNCTION("IMPORTRANGE(""https://docs.google.com/spreadsheets/d/1XL5vhW3sbDhbH9Cz0tuDiY8C3ctxq1tqvaCgkFb8cCA/edit?usp=sharing"",""นครพนม!J421"")"),0)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IFERROR(__xludf.DUMMYFUNCTION("IMPORTRANGE(""https://docs.google.com/spreadsheets/d/1XL5vhW3sbDhbH9Cz0tuDiY8C3ctxq1tqvaCgkFb8cCA/edit?usp=sharing"",""นครพนม!J459"")"),1844)</f>
        <v>1844</v>
      </c>
      <c r="K564" s="372">
        <f ca="1">IF(I564&gt;0,J564*100/I564,0)</f>
        <v>153.66666666666666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IFERROR(__xludf.DUMMYFUNCTION("IMPORTRANGE(""https://docs.google.com/spreadsheets/d/1XL5vhW3sbDhbH9Cz0tuDiY8C3ctxq1tqvaCgkFb8cCA/edit?usp=sharing"",""นครพนม!M459"")"),53416.16)</f>
        <v>53416.160000000003</v>
      </c>
      <c r="O564" s="373">
        <f t="shared" ref="O564:O568" ca="1" si="122">+IF(L564&gt;0,N564*100/L564,0)</f>
        <v>41.575466998754671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IFERROR(__xludf.DUMMYFUNCTION("IMPORTRANGE(""https://docs.google.com/spreadsheets/d/1XL5vhW3sbDhbH9Cz0tuDiY8C3ctxq1tqvaCgkFb8cCA/edit?usp=sharing"",""นครพนม!M461"")"),53416.16)</f>
        <v>53416.160000000003</v>
      </c>
      <c r="O566" s="169">
        <f t="shared" ca="1" si="122"/>
        <v>41.575466998754671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IFERROR(__xludf.DUMMYFUNCTION("IMPORTRANGE(""https://docs.google.com/spreadsheets/d/1XL5vhW3sbDhbH9Cz0tuDiY8C3ctxq1tqvaCgkFb8cCA/edit?usp=sharing"",""นครพนม!M463"")"),53416.16)</f>
        <v>53416.160000000003</v>
      </c>
      <c r="O568" s="169">
        <f t="shared" ca="1" si="122"/>
        <v>41.575466998754671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IFERROR(__xludf.DUMMYFUNCTION("IMPORTRANGE(""https://docs.google.com/spreadsheets/d/1XL5vhW3sbDhbH9Cz0tuDiY8C3ctxq1tqvaCgkFb8cCA/edit?usp=sharing"",""นครพนม!M466"")"),52516.16)</f>
        <v>52516.160000000003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IFERROR(__xludf.DUMMYFUNCTION("IMPORTRANGE(""https://docs.google.com/spreadsheets/d/1XL5vhW3sbDhbH9Cz0tuDiY8C3ctxq1tqvaCgkFb8cCA/edit?usp=sharing"",""นครพนม!J468"")"),1844)</f>
        <v>1844</v>
      </c>
      <c r="K573" s="202">
        <f ca="1">IF(I573&gt;0,J573*100/I573,0)</f>
        <v>153.66666666666666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IFERROR(__xludf.DUMMYFUNCTION("IMPORTRANGE(""https://docs.google.com/spreadsheets/d/1XL5vhW3sbDhbH9Cz0tuDiY8C3ctxq1tqvaCgkFb8cCA/edit?usp=sharing"",""นครพนม!J472"")"),1706)</f>
        <v>1706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600">
        <f ca="1">IFERROR(__xludf.DUMMYFUNCTION("IMPORTRANGE(""https://docs.google.com/spreadsheets/d/1XL5vhW3sbDhbH9Cz0tuDiY8C3ctxq1tqvaCgkFb8cCA/edit?usp=sharing"",""นครพนม!J487"")"),0.15)</f>
        <v>0.15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IFERROR(__xludf.DUMMYFUNCTION("IMPORTRANGE(""https://docs.google.com/spreadsheets/d/1XL5vhW3sbDhbH9Cz0tuDiY8C3ctxq1tqvaCgkFb8cCA/edit?usp=sharing"",""นครพนม!I491"")"),0)</f>
        <v>0</v>
      </c>
      <c r="J596" s="241">
        <f ca="1">IFERROR(__xludf.DUMMYFUNCTION("IMPORTRANGE(""https://docs.google.com/spreadsheets/d/1XL5vhW3sbDhbH9Cz0tuDiY8C3ctxq1tqvaCgkFb8cCA/edit?usp=sharing"",""นครพนม!J491"")"),0)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7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IFERROR(__xludf.DUMMYFUNCTION("IMPORTRANGE(""https://docs.google.com/spreadsheets/d/1XL5vhW3sbDhbH9Cz0tuDiY8C3ctxq1tqvaCgkFb8cCA/edit?usp=sharing"",""นครพนม!L492"")"),16100)</f>
        <v>16100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8.3850931677018625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IFERROR(__xludf.DUMMYFUNCTION("IMPORTRANGE(""https://docs.google.com/spreadsheets/d/1XL5vhW3sbDhbH9Cz0tuDiY8C3ctxq1tqvaCgkFb8cCA/edit?usp=sharing"",""นครพนม!L494"")"),16100)</f>
        <v>16100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8.3850931677018625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IFERROR(__xludf.DUMMYFUNCTION("IMPORTRANGE(""https://docs.google.com/spreadsheets/d/1XL5vhW3sbDhbH9Cz0tuDiY8C3ctxq1tqvaCgkFb8cCA/edit?usp=sharing"",""นครพนม!L496"")"),16100)</f>
        <v>16100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8.3850931677018625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1">
        <f ca="1">IFERROR(__xludf.DUMMYFUNCTION("IMPORTRANGE(""https://docs.google.com/spreadsheets/d/1XL5vhW3sbDhbH9Cz0tuDiY8C3ctxq1tqvaCgkFb8cCA/edit?usp=sharing"",""นครพนม!J523"")"),1528162.45)</f>
        <v>1528162.45</v>
      </c>
      <c r="K628" s="342">
        <f t="shared" ref="K628:K635" ca="1" si="129">IF(I628&gt;0,J628*100/I628,0)</f>
        <v>69.624336538761881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IFERROR(__xludf.DUMMYFUNCTION("IMPORTRANGE(""https://docs.google.com/spreadsheets/d/1XL5vhW3sbDhbH9Cz0tuDiY8C3ctxq1tqvaCgkFb8cCA/edit?usp=sharing"",""นครพนม!I524"")"),214)</f>
        <v>214</v>
      </c>
      <c r="J629" s="341">
        <f ca="1">IFERROR(__xludf.DUMMYFUNCTION("IMPORTRANGE(""https://docs.google.com/spreadsheets/d/1XL5vhW3sbDhbH9Cz0tuDiY8C3ctxq1tqvaCgkFb8cCA/edit?usp=sharing"",""นครพนม!J524"")"),150)</f>
        <v>150</v>
      </c>
      <c r="K629" s="342">
        <f t="shared" ca="1" si="129"/>
        <v>70.09345794392523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IFERROR(__xludf.DUMMYFUNCTION("IMPORTRANGE(""https://docs.google.com/spreadsheets/d/1XL5vhW3sbDhbH9Cz0tuDiY8C3ctxq1tqvaCgkFb8cCA/edit?usp=sharing"",""นครพนม!I525"")"),3131499.4)</f>
        <v>3131499.4</v>
      </c>
      <c r="J630" s="341">
        <f ca="1">IFERROR(__xludf.DUMMYFUNCTION("IMPORTRANGE(""https://docs.google.com/spreadsheets/d/1XL5vhW3sbDhbH9Cz0tuDiY8C3ctxq1tqvaCgkFb8cCA/edit?usp=sharing"",""นครพนม!J525"")"),434467.98)</f>
        <v>434467.98</v>
      </c>
      <c r="K630" s="342">
        <f t="shared" ca="1" si="129"/>
        <v>13.874119854533582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IFERROR(__xludf.DUMMYFUNCTION("IMPORTRANGE(""https://docs.google.com/spreadsheets/d/1XL5vhW3sbDhbH9Cz0tuDiY8C3ctxq1tqvaCgkFb8cCA/edit?usp=sharing"",""นครพนม!I526"")"),144)</f>
        <v>144</v>
      </c>
      <c r="J631" s="341">
        <f ca="1">IFERROR(__xludf.DUMMYFUNCTION("IMPORTRANGE(""https://docs.google.com/spreadsheets/d/1XL5vhW3sbDhbH9Cz0tuDiY8C3ctxq1tqvaCgkFb8cCA/edit?usp=sharing"",""นครพนม!J526"")"),63)</f>
        <v>63</v>
      </c>
      <c r="K631" s="342">
        <f t="shared" ca="1" si="129"/>
        <v>43.75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IFERROR(__xludf.DUMMYFUNCTION("IMPORTRANGE(""https://docs.google.com/spreadsheets/d/1XL5vhW3sbDhbH9Cz0tuDiY8C3ctxq1tqvaCgkFb8cCA/edit?usp=sharing"",""นครพนม!I527"")"),203773.43)</f>
        <v>203773.43</v>
      </c>
      <c r="J632" s="341">
        <f ca="1">IFERROR(__xludf.DUMMYFUNCTION("IMPORTRANGE(""https://docs.google.com/spreadsheets/d/1XL5vhW3sbDhbH9Cz0tuDiY8C3ctxq1tqvaCgkFb8cCA/edit?usp=sharing"",""นครพนม!J527"")"),78260.4)</f>
        <v>78260.399999999994</v>
      </c>
      <c r="K632" s="342">
        <f t="shared" ca="1" si="129"/>
        <v>38.405595862031667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IFERROR(__xludf.DUMMYFUNCTION("IMPORTRANGE(""https://docs.google.com/spreadsheets/d/1XL5vhW3sbDhbH9Cz0tuDiY8C3ctxq1tqvaCgkFb8cCA/edit?usp=sharing"",""นครพนม!I528"")"),16)</f>
        <v>16</v>
      </c>
      <c r="J633" s="341">
        <f ca="1">IFERROR(__xludf.DUMMYFUNCTION("IMPORTRANGE(""https://docs.google.com/spreadsheets/d/1XL5vhW3sbDhbH9Cz0tuDiY8C3ctxq1tqvaCgkFb8cCA/edit?usp=sharing"",""นครพนม!J528"")"),7)</f>
        <v>7</v>
      </c>
      <c r="K633" s="342">
        <f t="shared" ca="1" si="129"/>
        <v>43.75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IFERROR(__xludf.DUMMYFUNCTION("IMPORTRANGE(""https://docs.google.com/spreadsheets/d/1XL5vhW3sbDhbH9Cz0tuDiY8C3ctxq1tqvaCgkFb8cCA/edit?usp=sharing"",""นครพนม!I529"")"),2700000)</f>
        <v>2700000</v>
      </c>
      <c r="J634" s="341">
        <f ca="1">IFERROR(__xludf.DUMMYFUNCTION("IMPORTRANGE(""https://docs.google.com/spreadsheets/d/1XL5vhW3sbDhbH9Cz0tuDiY8C3ctxq1tqvaCgkFb8cCA/edit?usp=sharing"",""นครพนม!J529"")"),2700000)</f>
        <v>2700000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IFERROR(__xludf.DUMMYFUNCTION("IMPORTRANGE(""https://docs.google.com/spreadsheets/d/1XL5vhW3sbDhbH9Cz0tuDiY8C3ctxq1tqvaCgkFb8cCA/edit?usp=sharing"",""นครพนม!I530"")"),90)</f>
        <v>90</v>
      </c>
      <c r="J635" s="504">
        <f ca="1">IFERROR(__xludf.DUMMYFUNCTION("IMPORTRANGE(""https://docs.google.com/spreadsheets/d/1XL5vhW3sbDhbH9Cz0tuDiY8C3ctxq1tqvaCgkFb8cCA/edit?usp=sharing"",""นครพนม!J530"")"),90)</f>
        <v>90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4240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4240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4240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IFERROR(__xludf.DUMMYFUNCTION("IMPORTRANGE(""https://docs.google.com/spreadsheets/d/1XL5vhW3sbDhbH9Cz0tuDiY8C3ctxq1tqvaCgkFb8cCA/edit#gid=346597447"",""นครพนม!J541"")"),0)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IFERROR(__xludf.DUMMYFUNCTION("IMPORTRANGE(""https://docs.google.com/spreadsheets/d/1XL5vhW3sbDhbH9Cz0tuDiY8C3ctxq1tqvaCgkFb8cCA/edit#gid=346597447"",""นครพนม!J542"")"),0)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IFERROR(__xludf.DUMMYFUNCTION("IMPORTRANGE(""https://docs.google.com/spreadsheets/d/1XL5vhW3sbDhbH9Cz0tuDiY8C3ctxq1tqvaCgkFb8cCA/edit#gid=346597447"",""นครพนม!I543"")"),35)</f>
        <v>35</v>
      </c>
      <c r="J648" s="585">
        <f ca="1">IFERROR(__xludf.DUMMYFUNCTION("IMPORTRANGE(""https://docs.google.com/spreadsheets/d/1XL5vhW3sbDhbH9Cz0tuDiY8C3ctxq1tqvaCgkFb8cCA/edit#gid=346597447"",""นครพนม!J543"")"),0)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IFERROR(__xludf.DUMMYFUNCTION("IMPORTRANGE(""https://docs.google.com/spreadsheets/d/1XL5vhW3sbDhbH9Cz0tuDiY8C3ctxq1tqvaCgkFb8cCA/edit#gid=346597447"",""นครพนม!L543"")"),2800)</f>
        <v>2800</v>
      </c>
      <c r="M648" s="570"/>
      <c r="N648" s="587">
        <f ca="1">IFERROR(__xludf.DUMMYFUNCTION("IMPORTRANGE(""https://docs.google.com/spreadsheets/d/1XL5vhW3sbDhbH9Cz0tuDiY8C3ctxq1tqvaCgkFb8cCA/edit#gid=346597447"",""นครพนม!M543"")"),0)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IFERROR(__xludf.DUMMYFUNCTION("IMPORTRANGE(""https://docs.google.com/spreadsheets/d/1XL5vhW3sbDhbH9Cz0tuDiY8C3ctxq1tqvaCgkFb8cCA/edit#gid=346597447"",""นครพนม!I544"")"),12)</f>
        <v>12</v>
      </c>
      <c r="J649" s="585">
        <f ca="1">IFERROR(__xludf.DUMMYFUNCTION("IMPORTRANGE(""https://docs.google.com/spreadsheets/d/1XL5vhW3sbDhbH9Cz0tuDiY8C3ctxq1tqvaCgkFb8cCA/edit#gid=346597447"",""นครพนม!J544"")"),3)</f>
        <v>3</v>
      </c>
      <c r="K649" s="586">
        <f t="shared" ca="1" si="131"/>
        <v>25</v>
      </c>
      <c r="L649" s="571">
        <f ca="1">IFERROR(__xludf.DUMMYFUNCTION("IMPORTRANGE(""https://docs.google.com/spreadsheets/d/1XL5vhW3sbDhbH9Cz0tuDiY8C3ctxq1tqvaCgkFb8cCA/edit#gid=346597447"",""นครพนม!L544"")"),1440)</f>
        <v>1440</v>
      </c>
      <c r="M649" s="570"/>
      <c r="N649" s="587">
        <f ca="1">IFERROR(__xludf.DUMMYFUNCTION("IMPORTRANGE(""https://docs.google.com/spreadsheets/d/1XL5vhW3sbDhbH9Cz0tuDiY8C3ctxq1tqvaCgkFb8cCA/edit#gid=346597447"",""นครพนม!M544"")"),0)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IFERROR(__xludf.DUMMYFUNCTION("IMPORTRANGE(""https://docs.google.com/spreadsheets/d/1XL5vhW3sbDhbH9Cz0tuDiY8C3ctxq1tqvaCgkFb8cCA/edit#gid=346597447"",""นครพนม!I545"")"),0)</f>
        <v>0</v>
      </c>
      <c r="J650" s="585">
        <f ca="1">IFERROR(__xludf.DUMMYFUNCTION("IMPORTRANGE(""https://docs.google.com/spreadsheets/d/1XL5vhW3sbDhbH9Cz0tuDiY8C3ctxq1tqvaCgkFb8cCA/edit#gid=346597447"",""นครพนม!J545"")"),0)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IFERROR(__xludf.DUMMYFUNCTION("IMPORTRANGE(""https://docs.google.com/spreadsheets/d/1XL5vhW3sbDhbH9Cz0tuDiY8C3ctxq1tqvaCgkFb8cCA/edit#gid=346597447"",""นครพนม!L545"")"),0)</f>
        <v>0</v>
      </c>
      <c r="M650" s="570"/>
      <c r="N650" s="587">
        <f ca="1">IFERROR(__xludf.DUMMYFUNCTION("IMPORTRANGE(""https://docs.google.com/spreadsheets/d/1XL5vhW3sbDhbH9Cz0tuDiY8C3ctxq1tqvaCgkFb8cCA/edit#gid=346597447"",""นครพนม!M545"")"),0)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IFERROR(__xludf.DUMMYFUNCTION("IMPORTRANGE(""https://docs.google.com/spreadsheets/d/1XL5vhW3sbDhbH9Cz0tuDiY8C3ctxq1tqvaCgkFb8cCA/edit#gid=346597447"",""นครพนม!I546"")"),0)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IFERROR(__xludf.DUMMYFUNCTION("IMPORTRANGE(""https://docs.google.com/spreadsheets/d/1XL5vhW3sbDhbH9Cz0tuDiY8C3ctxq1tqvaCgkFb8cCA/edit#gid=346597447"",""นครพนม!L546"")"),0)</f>
        <v>0</v>
      </c>
      <c r="M651" s="570"/>
      <c r="N651" s="587">
        <f ca="1">IFERROR(__xludf.DUMMYFUNCTION("IMPORTRANGE(""https://docs.google.com/spreadsheets/d/1XL5vhW3sbDhbH9Cz0tuDiY8C3ctxq1tqvaCgkFb8cCA/edit#gid=346597447"",""นครพนม!M546"")"),0)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IFERROR(__xludf.DUMMYFUNCTION("IMPORTRANGE(""https://docs.google.com/spreadsheets/d/1XL5vhW3sbDhbH9Cz0tuDiY8C3ctxq1tqvaCgkFb8cCA/edit#gid=346597447"",""นครพนม!J547"")"),0)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IFERROR(__xludf.DUMMYFUNCTION("IMPORTRANGE(""https://docs.google.com/spreadsheets/d/1XL5vhW3sbDhbH9Cz0tuDiY8C3ctxq1tqvaCgkFb8cCA/edit#gid=346597447"",""นครพนม!J548"")"),0)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IFERROR(__xludf.DUMMYFUNCTION("IMPORTRANGE(""https://docs.google.com/spreadsheets/d/1XL5vhW3sbDhbH9Cz0tuDiY8C3ctxq1tqvaCgkFb8cCA/edit#gid=346597447"",""นครพนม!J550"")"),0)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IFERROR(__xludf.DUMMYFUNCTION("IMPORTRANGE(""https://docs.google.com/spreadsheets/d/1XL5vhW3sbDhbH9Cz0tuDiY8C3ctxq1tqvaCgkFb8cCA/edit#gid=346597447"",""นครพนม!J551"")"),0)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IFERROR(__xludf.DUMMYFUNCTION("IMPORTRANGE(""https://docs.google.com/spreadsheets/d/1XL5vhW3sbDhbH9Cz0tuDiY8C3ctxq1tqvaCgkFb8cCA/edit#gid=346597447"",""นครพนม!J552"")"),0)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IFERROR(__xludf.DUMMYFUNCTION("IMPORTRANGE(""https://docs.google.com/spreadsheets/d/1XL5vhW3sbDhbH9Cz0tuDiY8C3ctxq1tqvaCgkFb8cCA/edit#gid=346597447"",""นครพนม!J553"")"),0)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IFERROR(__xludf.DUMMYFUNCTION("IMPORTRANGE(""https://docs.google.com/spreadsheets/d/1XL5vhW3sbDhbH9Cz0tuDiY8C3ctxq1tqvaCgkFb8cCA/edit#gid=346597447"",""นครพนม!J554"")"),0)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IFERROR(__xludf.DUMMYFUNCTION("IMPORTRANGE(""https://docs.google.com/spreadsheets/d/1XL5vhW3sbDhbH9Cz0tuDiY8C3ctxq1tqvaCgkFb8cCA/edit#gid=346597447"",""นครพนม!J555"")"),0)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IFERROR(__xludf.DUMMYFUNCTION("IMPORTRANGE(""https://docs.google.com/spreadsheets/d/1XL5vhW3sbDhbH9Cz0tuDiY8C3ctxq1tqvaCgkFb8cCA/edit#gid=346597447"",""นครพนม!J556"")"),0)</f>
        <v>0</v>
      </c>
      <c r="K661" s="586"/>
      <c r="L661" s="571">
        <f ca="1">IFERROR(__xludf.DUMMYFUNCTION("IMPORTRANGE(""https://docs.google.com/spreadsheets/d/1XL5vhW3sbDhbH9Cz0tuDiY8C3ctxq1tqvaCgkFb8cCA/edit#gid=346597447"",""นครพนม!L556"")"),0)</f>
        <v>0</v>
      </c>
      <c r="M661" s="570"/>
      <c r="N661" s="587">
        <f ca="1">IFERROR(__xludf.DUMMYFUNCTION("IMPORTRANGE(""https://docs.google.com/spreadsheets/d/1XL5vhW3sbDhbH9Cz0tuDiY8C3ctxq1tqvaCgkFb8cCA/edit#gid=346597447"",""นครพนม!M556"")"),0)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IFERROR(__xludf.DUMMYFUNCTION("IMPORTRANGE(""https://docs.google.com/spreadsheets/d/1XL5vhW3sbDhbH9Cz0tuDiY8C3ctxq1tqvaCgkFb8cCA/edit#gid=346597447"",""นครพนม!J557"")"),0)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IFERROR(__xludf.DUMMYFUNCTION("IMPORTRANGE(""https://docs.google.com/spreadsheets/d/1XL5vhW3sbDhbH9Cz0tuDiY8C3ctxq1tqvaCgkFb8cCA/edit#gid=346597447"",""นครพนม!I558"")"),0)</f>
        <v>0</v>
      </c>
      <c r="J663" s="585">
        <f ca="1">IFERROR(__xludf.DUMMYFUNCTION("IMPORTRANGE(""https://docs.google.com/spreadsheets/d/1XL5vhW3sbDhbH9Cz0tuDiY8C3ctxq1tqvaCgkFb8cCA/edit#gid=346597447"",""นครพนม!J558"")"),0)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IFERROR(__xludf.DUMMYFUNCTION("IMPORTRANGE(""https://docs.google.com/spreadsheets/d/1XL5vhW3sbDhbH9Cz0tuDiY8C3ctxq1tqvaCgkFb8cCA/edit#gid=346597447"",""นครพนม!I560"")"),0)</f>
        <v>0</v>
      </c>
      <c r="J665" s="585">
        <f ca="1">IFERROR(__xludf.DUMMYFUNCTION("IMPORTRANGE(""https://docs.google.com/spreadsheets/d/1XL5vhW3sbDhbH9Cz0tuDiY8C3ctxq1tqvaCgkFb8cCA/edit#gid=346597447"",""นครพนม!J560"")"),0)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IFERROR(__xludf.DUMMYFUNCTION("IMPORTRANGE(""https://docs.google.com/spreadsheets/d/1XL5vhW3sbDhbH9Cz0tuDiY8C3ctxq1tqvaCgkFb8cCA/edit#gid=346597447"",""นครพนม!L560"")"),0)</f>
        <v>0</v>
      </c>
      <c r="M665" s="570"/>
      <c r="N665" s="587">
        <f ca="1">IFERROR(__xludf.DUMMYFUNCTION("IMPORTRANGE(""https://docs.google.com/spreadsheets/d/1XL5vhW3sbDhbH9Cz0tuDiY8C3ctxq1tqvaCgkFb8cCA/edit#gid=346597447"",""นครพนม!M560"")"),0)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IFERROR(__xludf.DUMMYFUNCTION("IMPORTRANGE(""https://docs.google.com/spreadsheets/d/1XL5vhW3sbDhbH9Cz0tuDiY8C3ctxq1tqvaCgkFb8cCA/edit#gid=346597447"",""นครพนม!J561"")"),0)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IFERROR(__xludf.DUMMYFUNCTION("IMPORTRANGE(""https://docs.google.com/spreadsheets/d/1XL5vhW3sbDhbH9Cz0tuDiY8C3ctxq1tqvaCgkFb8cCA/edit#gid=346597447"",""นครพนม!J562"")"),0)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IFERROR(__xludf.DUMMYFUNCTION("IMPORTRANGE(""https://docs.google.com/spreadsheets/d/1XL5vhW3sbDhbH9Cz0tuDiY8C3ctxq1tqvaCgkFb8cCA/edit#gid=346597447"",""นครพนม!I563"")"),0)</f>
        <v>0</v>
      </c>
      <c r="J668" s="585">
        <f ca="1">IFERROR(__xludf.DUMMYFUNCTION("IMPORTRANGE(""https://docs.google.com/spreadsheets/d/1XL5vhW3sbDhbH9Cz0tuDiY8C3ctxq1tqvaCgkFb8cCA/edit#gid=346597447"",""นครพนม!J563"")"),0)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IFERROR(__xludf.DUMMYFUNCTION("IMPORTRANGE(""https://docs.google.com/spreadsheets/d/1XL5vhW3sbDhbH9Cz0tuDiY8C3ctxq1tqvaCgkFb8cCA/edit#gid=346597447"",""นครพนม!L563"")"),0)</f>
        <v>0</v>
      </c>
      <c r="M668" s="570"/>
      <c r="N668" s="587">
        <f ca="1">IFERROR(__xludf.DUMMYFUNCTION("IMPORTRANGE(""https://docs.google.com/spreadsheets/d/1XL5vhW3sbDhbH9Cz0tuDiY8C3ctxq1tqvaCgkFb8cCA/edit#gid=346597447"",""นครพนม!M563"")"),0)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IFERROR(__xludf.DUMMYFUNCTION("IMPORTRANGE(""https://docs.google.com/spreadsheets/d/1XL5vhW3sbDhbH9Cz0tuDiY8C3ctxq1tqvaCgkFb8cCA/edit#gid=346597447"",""นครพนม!J564"")"),0)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IFERROR(__xludf.DUMMYFUNCTION("IMPORTRANGE(""https://docs.google.com/spreadsheets/d/1XL5vhW3sbDhbH9Cz0tuDiY8C3ctxq1tqvaCgkFb8cCA/edit#gid=346597447"",""นครพนม!J565"")"),0)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IFERROR(__xludf.DUMMYFUNCTION("IMPORTRANGE(""https://docs.google.com/spreadsheets/d/1XL5vhW3sbDhbH9Cz0tuDiY8C3ctxq1tqvaCgkFb8cCA/edit#gid=346597447"",""นครพนม!I566"")"),0)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IFERROR(__xludf.DUMMYFUNCTION("IMPORTRANGE(""https://docs.google.com/spreadsheets/d/1XL5vhW3sbDhbH9Cz0tuDiY8C3ctxq1tqvaCgkFb8cCA/edit#gid=346597447"",""นครพนม!L566"")"),0)</f>
        <v>0</v>
      </c>
      <c r="M671" s="570"/>
      <c r="N671" s="587">
        <f ca="1">IFERROR(__xludf.DUMMYFUNCTION("IMPORTRANGE(""https://docs.google.com/spreadsheets/d/1XL5vhW3sbDhbH9Cz0tuDiY8C3ctxq1tqvaCgkFb8cCA/edit#gid=346597447"",""นครพนม!M566"")"),0)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IFERROR(__xludf.DUMMYFUNCTION("IMPORTRANGE(""https://docs.google.com/spreadsheets/d/1XL5vhW3sbDhbH9Cz0tuDiY8C3ctxq1tqvaCgkFb8cCA/edit#gid=346597447"",""นครพนม!J567"")"),0)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IFERROR(__xludf.DUMMYFUNCTION("IMPORTRANGE(""https://docs.google.com/spreadsheets/d/1XL5vhW3sbDhbH9Cz0tuDiY8C3ctxq1tqvaCgkFb8cCA/edit#gid=346597447"",""นครพนม!J568"")"),0)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IFERROR(__xludf.DUMMYFUNCTION("IMPORTRANGE(""https://docs.google.com/spreadsheets/d/1XL5vhW3sbDhbH9Cz0tuDiY8C3ctxq1tqvaCgkFb8cCA/edit#gid=346597447"",""นครพนม!J569"")"),0)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IFERROR(__xludf.DUMMYFUNCTION("IMPORTRANGE(""https://docs.google.com/spreadsheets/d/1XL5vhW3sbDhbH9Cz0tuDiY8C3ctxq1tqvaCgkFb8cCA/edit#gid=346597447"",""นครพนม!J570"")"),0)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IFERROR(__xludf.DUMMYFUNCTION("IMPORTRANGE(""https://docs.google.com/spreadsheets/d/1XL5vhW3sbDhbH9Cz0tuDiY8C3ctxq1tqvaCgkFb8cCA/edit#gid=346597447"",""นครพนม!J571"")"),0)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IFERROR(__xludf.DUMMYFUNCTION("IMPORTRANGE(""https://docs.google.com/spreadsheets/d/1XL5vhW3sbDhbH9Cz0tuDiY8C3ctxq1tqvaCgkFb8cCA/edit#gid=346597447"",""นครพนม!J572"")"),0)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0.28515625" customWidth="1"/>
    <col min="8" max="8" width="10.85546875" customWidth="1"/>
    <col min="9" max="9" width="16.5703125" bestFit="1" customWidth="1"/>
    <col min="10" max="10" width="14.85546875" bestFit="1" customWidth="1"/>
    <col min="11" max="11" width="13.42578125" bestFit="1" customWidth="1"/>
    <col min="12" max="12" width="20.140625" customWidth="1"/>
    <col min="13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268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5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3" t="s">
        <v>15</v>
      </c>
      <c r="B7" s="648"/>
      <c r="C7" s="648"/>
      <c r="D7" s="648"/>
      <c r="E7" s="648"/>
      <c r="F7" s="648"/>
      <c r="G7" s="64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10591906</v>
      </c>
      <c r="M8" s="23">
        <f t="shared" ca="1" si="0"/>
        <v>5081437</v>
      </c>
      <c r="N8" s="23">
        <f t="shared" ca="1" si="0"/>
        <v>6300164.4700000007</v>
      </c>
      <c r="O8" s="22">
        <f t="shared" ref="O8:O16" ca="1" si="1">IF(L8&gt;0,N8*100/L8,0)</f>
        <v>59.480932610240323</v>
      </c>
      <c r="P8" s="22">
        <f t="shared" ref="P8:P16" ca="1" si="2">IF(M8&gt;0,N8*100/M8,0)</f>
        <v>123.98391380233586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10591906</v>
      </c>
      <c r="M10" s="30">
        <f t="shared" ca="1" si="4"/>
        <v>5081437</v>
      </c>
      <c r="N10" s="30">
        <f t="shared" ca="1" si="4"/>
        <v>6300164.4700000007</v>
      </c>
      <c r="O10" s="29">
        <f t="shared" ca="1" si="1"/>
        <v>59.480932610240323</v>
      </c>
      <c r="P10" s="29">
        <f t="shared" ca="1" si="2"/>
        <v>123.98391380233586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10359106</v>
      </c>
      <c r="M12" s="38">
        <f t="shared" ca="1" si="6"/>
        <v>4848637</v>
      </c>
      <c r="N12" s="38">
        <f t="shared" ca="1" si="6"/>
        <v>6067364.4700000007</v>
      </c>
      <c r="O12" s="38">
        <f t="shared" ca="1" si="1"/>
        <v>58.570348348593029</v>
      </c>
      <c r="P12" s="38">
        <f t="shared" ca="1" si="2"/>
        <v>125.13546528643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2825300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7533806</v>
      </c>
      <c r="M14" s="38">
        <f t="shared" si="8"/>
        <v>0</v>
      </c>
      <c r="N14" s="38">
        <f t="shared" ca="1" si="8"/>
        <v>2271088.25</v>
      </c>
      <c r="O14" s="38">
        <f t="shared" ca="1" si="1"/>
        <v>30.145297741938137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3" t="s">
        <v>24</v>
      </c>
      <c r="B17" s="648"/>
      <c r="C17" s="648"/>
      <c r="D17" s="648"/>
      <c r="E17" s="648"/>
      <c r="F17" s="648"/>
      <c r="G17" s="64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6059385</v>
      </c>
      <c r="M18" s="23">
        <f t="shared" ca="1" si="11"/>
        <v>5081437</v>
      </c>
      <c r="N18" s="23">
        <f t="shared" ca="1" si="11"/>
        <v>4029076.22</v>
      </c>
      <c r="O18" s="22">
        <f t="shared" ref="O18:O20" ca="1" si="12">IF(L18&gt;0,N18*100/L18,0)</f>
        <v>66.493154338270301</v>
      </c>
      <c r="P18" s="22">
        <f t="shared" ref="P18:P26" ca="1" si="13">IF(M18&gt;0,N18*100/M18,0)</f>
        <v>79.290094908192302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6059385</v>
      </c>
      <c r="M20" s="30">
        <f t="shared" ca="1" si="15"/>
        <v>5081437</v>
      </c>
      <c r="N20" s="30">
        <f t="shared" ca="1" si="15"/>
        <v>4029076.22</v>
      </c>
      <c r="O20" s="29">
        <f t="shared" ca="1" si="12"/>
        <v>66.493154338270301</v>
      </c>
      <c r="P20" s="29">
        <f t="shared" ca="1" si="13"/>
        <v>79.290094908192302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5826585</v>
      </c>
      <c r="M22" s="41">
        <f t="shared" ca="1" si="18"/>
        <v>4848637</v>
      </c>
      <c r="N22" s="38">
        <f t="shared" ca="1" si="18"/>
        <v>3796276.22</v>
      </c>
      <c r="O22" s="38">
        <f t="shared" ca="1" si="17"/>
        <v>65.154395241809738</v>
      </c>
      <c r="P22" s="38">
        <f t="shared" ca="1" si="13"/>
        <v>78.295740019308525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2825300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3001285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3" t="s">
        <v>25</v>
      </c>
      <c r="B27" s="648"/>
      <c r="C27" s="648"/>
      <c r="D27" s="648"/>
      <c r="E27" s="648"/>
      <c r="F27" s="648"/>
      <c r="G27" s="64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4532521</v>
      </c>
      <c r="M28" s="23">
        <f t="shared" si="23"/>
        <v>0</v>
      </c>
      <c r="N28" s="23">
        <f t="shared" ca="1" si="23"/>
        <v>2271088.25</v>
      </c>
      <c r="O28" s="22">
        <f t="shared" ref="O28:O30" ca="1" si="24">IF(L28&gt;0,N28*100/L28,0)</f>
        <v>50.106513571586319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4532521</v>
      </c>
      <c r="M30" s="30">
        <f t="shared" si="27"/>
        <v>0</v>
      </c>
      <c r="N30" s="30">
        <f t="shared" ca="1" si="27"/>
        <v>2271088.25</v>
      </c>
      <c r="O30" s="29">
        <f t="shared" ca="1" si="24"/>
        <v>50.106513571586319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4532521</v>
      </c>
      <c r="M32" s="38">
        <f t="shared" si="30"/>
        <v>0</v>
      </c>
      <c r="N32" s="38">
        <f t="shared" ca="1" si="30"/>
        <v>2271088.25</v>
      </c>
      <c r="O32" s="38">
        <f t="shared" ca="1" si="29"/>
        <v>50.106513571586319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4532521</v>
      </c>
      <c r="M34" s="38">
        <f t="shared" si="32"/>
        <v>0</v>
      </c>
      <c r="N34" s="38">
        <f t="shared" ca="1" si="32"/>
        <v>2271088.25</v>
      </c>
      <c r="O34" s="38">
        <f t="shared" ca="1" si="29"/>
        <v>50.106513571586319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6059385</v>
      </c>
      <c r="M37" s="54">
        <f t="shared" ca="1" si="33"/>
        <v>5081437</v>
      </c>
      <c r="N37" s="54">
        <f t="shared" ca="1" si="33"/>
        <v>4029076.2200000007</v>
      </c>
      <c r="O37" s="55">
        <f t="shared" ca="1" si="29"/>
        <v>66.493154338270315</v>
      </c>
      <c r="P37" s="55">
        <f t="shared" ca="1" si="25"/>
        <v>79.290094908192316</v>
      </c>
    </row>
    <row r="38" spans="1:16" ht="21.75" customHeight="1" x14ac:dyDescent="0.3">
      <c r="A38" s="647" t="s">
        <v>27</v>
      </c>
      <c r="B38" s="648"/>
      <c r="C38" s="648"/>
      <c r="D38" s="648"/>
      <c r="E38" s="648"/>
      <c r="F38" s="648"/>
      <c r="G38" s="64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0" t="s">
        <v>28</v>
      </c>
      <c r="C39" s="641"/>
      <c r="D39" s="641"/>
      <c r="E39" s="641"/>
      <c r="F39" s="641"/>
      <c r="G39" s="64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1152100</v>
      </c>
      <c r="M41" s="78">
        <f t="shared" ca="1" si="34"/>
        <v>922020</v>
      </c>
      <c r="N41" s="78">
        <f t="shared" ca="1" si="34"/>
        <v>806007.79</v>
      </c>
      <c r="O41" s="77">
        <f t="shared" ref="O41:O43" ca="1" si="35">IF(L41&gt;0,N41*100/L41,0)</f>
        <v>69.959881086711221</v>
      </c>
      <c r="P41" s="77">
        <f t="shared" ref="P41:P43" ca="1" si="36">IF(M41&gt;0,N41*100/M41,0)</f>
        <v>87.417603739615188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1152100</v>
      </c>
      <c r="M43" s="78">
        <f t="shared" ca="1" si="38"/>
        <v>922020</v>
      </c>
      <c r="N43" s="78">
        <f t="shared" ca="1" si="38"/>
        <v>806007.79</v>
      </c>
      <c r="O43" s="77">
        <f t="shared" ca="1" si="35"/>
        <v>69.959881086711221</v>
      </c>
      <c r="P43" s="77">
        <f t="shared" ca="1" si="36"/>
        <v>87.417603739615188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1104100</v>
      </c>
      <c r="M45" s="49">
        <f ca="1">IFERROR(__xludf.DUMMYFUNCTION("IMPORTRANGE(""https://docs.google.com/spreadsheets/d/1Yj_ptqi66GCucihVvJfMjLAmec39IyEx_6qawtMGysU/edit?usp=sharing"",""สบก!Q42"")"),874020)</f>
        <v>874020</v>
      </c>
      <c r="N45" s="49">
        <f ca="1">IFERROR(__xludf.DUMMYFUNCTION("IMPORTRANGE(""https://docs.google.com/spreadsheets/d/1Yj_ptqi66GCucihVvJfMjLAmec39IyEx_6qawtMGysU/edit?usp=sharing"",""สบก!R42"")"),758007.79)</f>
        <v>758007.79</v>
      </c>
      <c r="O45" s="38">
        <f ca="1">IF(L45&gt;0,N45*100/L45,0)</f>
        <v>68.65390725477765</v>
      </c>
      <c r="P45" s="38">
        <f ca="1">IF(M45&gt;0,N45*100/M45,0)</f>
        <v>86.726595501247118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IFERROR(__xludf.DUMMYFUNCTION("IMPORTRANGE(""https://docs.google.com/spreadsheets/d/1Yj_ptqi66GCucihVvJfMjLAmec39IyEx_6qawtMGysU/edit?usp=sharing"",""สบก!M42"")"),1104100)</f>
        <v>1104100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585600</v>
      </c>
      <c r="M53" s="121">
        <f t="shared" ca="1" si="39"/>
        <v>474492</v>
      </c>
      <c r="N53" s="121">
        <f t="shared" ca="1" si="39"/>
        <v>454522</v>
      </c>
      <c r="O53" s="120">
        <f t="shared" ref="O53:O55" ca="1" si="40">IF(L53&gt;0,N53*100/L53,0)</f>
        <v>77.616461748633881</v>
      </c>
      <c r="P53" s="120">
        <f t="shared" ref="P53:P55" ca="1" si="41">IF(M53&gt;0,N53*100/M53,0)</f>
        <v>95.791288367348656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585600</v>
      </c>
      <c r="M55" s="121">
        <f t="shared" ca="1" si="43"/>
        <v>474492</v>
      </c>
      <c r="N55" s="121">
        <f t="shared" ca="1" si="43"/>
        <v>454522</v>
      </c>
      <c r="O55" s="120">
        <f t="shared" ca="1" si="40"/>
        <v>77.616461748633881</v>
      </c>
      <c r="P55" s="120">
        <f t="shared" ca="1" si="41"/>
        <v>95.791288367348656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585600</v>
      </c>
      <c r="M57" s="49">
        <f ca="1">IFERROR(__xludf.DUMMYFUNCTION("IMPORTRANGE(""https://docs.google.com/spreadsheets/d/1Yj_ptqi66GCucihVvJfMjLAmec39IyEx_6qawtMGysU/edit?usp=sharing"",""สบก!Z42"")"),474492)</f>
        <v>474492</v>
      </c>
      <c r="N57" s="49">
        <f ca="1">IFERROR(__xludf.DUMMYFUNCTION("IMPORTRANGE(""https://docs.google.com/spreadsheets/d/1Yj_ptqi66GCucihVvJfMjLAmec39IyEx_6qawtMGysU/edit?usp=sharing"",""สบก!AA42"")"),454522)</f>
        <v>454522</v>
      </c>
      <c r="O57" s="38">
        <f ca="1">IF(L57&gt;0,N57*100/L57,0)</f>
        <v>77.616461748633881</v>
      </c>
      <c r="P57" s="38">
        <f ca="1">IF(M57&gt;0,N57*100/M57,0)</f>
        <v>95.791288367348656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IFERROR(__xludf.DUMMYFUNCTION("IMPORTRANGE(""https://docs.google.com/spreadsheets/d/1Yj_ptqi66GCucihVvJfMjLAmec39IyEx_6qawtMGysU/edit?usp=sharing"",""สบก!V42"")"),585600)</f>
        <v>585600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295895</v>
      </c>
      <c r="N94" s="152">
        <f t="shared" ca="1" si="52"/>
        <v>262150</v>
      </c>
      <c r="O94" s="151">
        <f t="shared" ref="O94:O96" ca="1" si="53">IF(L94&gt;0,N94*100/L94,0)</f>
        <v>82.754593092998292</v>
      </c>
      <c r="P94" s="151">
        <f t="shared" ref="P94:P96" ca="1" si="54">IF(M94&gt;0,N94*100/M94,0)</f>
        <v>88.595616688352294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295895</v>
      </c>
      <c r="N96" s="157">
        <f t="shared" ca="1" si="56"/>
        <v>262150</v>
      </c>
      <c r="O96" s="156">
        <f t="shared" ca="1" si="53"/>
        <v>82.754593092998292</v>
      </c>
      <c r="P96" s="156">
        <f t="shared" ca="1" si="54"/>
        <v>88.595616688352294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IFERROR(__xludf.DUMMYFUNCTION("IMPORTRANGE(""https://docs.google.com/spreadsheets/d/1Yj_ptqi66GCucihVvJfMjLAmec39IyEx_6qawtMGysU/edit?usp=sharing"",""สบก!AR42"")"),111095)</f>
        <v>111095</v>
      </c>
      <c r="N98" s="169">
        <f ca="1">IFERROR(__xludf.DUMMYFUNCTION("IMPORTRANGE(""https://docs.google.com/spreadsheets/d/1Yj_ptqi66GCucihVvJfMjLAmec39IyEx_6qawtMGysU/edit?usp=sharing"",""สบก!AS42"")"),77350)</f>
        <v>77350</v>
      </c>
      <c r="O98" s="169">
        <f ca="1">IF(L98&gt;0,N98*100/L98,0)</f>
        <v>58.607364752235185</v>
      </c>
      <c r="P98" s="169">
        <f ca="1">IF(M98&gt;0,N98*100/M98,0)</f>
        <v>69.625095638867634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168">
        <f ca="1">IFERROR(__xludf.DUMMYFUNCTION("IMPORTRANGE(""https://docs.google.com/spreadsheets/d/1Yj_ptqi66GCucihVvJfMjLAmec39IyEx_6qawtMGysU/edit?usp=sharing"",""สบก!AO42"")"),131980)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IFERROR(__xludf.DUMMYFUNCTION("IMPORTRANGE(""https://docs.google.com/spreadsheets/d/1XL5vhW3sbDhbH9Cz0tuDiY8C3ctxq1tqvaCgkFb8cCA/edit?usp=sharing"",""นครราชสีมา!J50"")"),0)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3" t="s">
        <v>269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IFERROR(__xludf.DUMMYFUNCTION("IMPORTRANGE(""https://docs.google.com/spreadsheets/d/1XL5vhW3sbDhbH9Cz0tuDiY8C3ctxq1tqvaCgkFb8cCA/edit?usp=sharing"",""นครราชสีมา!J65"")"),0)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IFERROR(__xludf.DUMMYFUNCTION("IMPORTRANGE(""https://docs.google.com/spreadsheets/d/1XL5vhW3sbDhbH9Cz0tuDiY8C3ctxq1tqvaCgkFb8cCA/edit?usp=sharing"",""นครราชสีมา!I68"")"),15)</f>
        <v>15</v>
      </c>
      <c r="J138" s="267">
        <f ca="1">IFERROR(__xludf.DUMMYFUNCTION("IMPORTRANGE(""https://docs.google.com/spreadsheets/d/1XL5vhW3sbDhbH9Cz0tuDiY8C3ctxq1tqvaCgkFb8cCA/edit?usp=sharing"",""นครราชสีมา!J68"")"),15)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589600</v>
      </c>
      <c r="M140" s="152">
        <f t="shared" ca="1" si="64"/>
        <v>450825</v>
      </c>
      <c r="N140" s="152">
        <f t="shared" ca="1" si="64"/>
        <v>380407</v>
      </c>
      <c r="O140" s="151">
        <f t="shared" ref="O140:O142" ca="1" si="65">IF(L140&gt;0,N140*100/L140,0)</f>
        <v>64.519504748982357</v>
      </c>
      <c r="P140" s="151">
        <f t="shared" ref="P140:P142" ca="1" si="66">IF(M140&gt;0,N140*100/M140,0)</f>
        <v>84.380191870459711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589600</v>
      </c>
      <c r="M142" s="157">
        <f t="shared" ca="1" si="68"/>
        <v>450825</v>
      </c>
      <c r="N142" s="157">
        <f t="shared" ca="1" si="68"/>
        <v>380407</v>
      </c>
      <c r="O142" s="156">
        <f t="shared" ca="1" si="65"/>
        <v>64.519504748982357</v>
      </c>
      <c r="P142" s="156">
        <f t="shared" ca="1" si="66"/>
        <v>84.380191870459711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589600</v>
      </c>
      <c r="M144" s="168">
        <f ca="1">IFERROR(__xludf.DUMMYFUNCTION("IMPORTRANGE(""https://docs.google.com/spreadsheets/d/1Yj_ptqi66GCucihVvJfMjLAmec39IyEx_6qawtMGysU/edit?usp=sharing"",""สบก!BJ42"")"),450825)</f>
        <v>450825</v>
      </c>
      <c r="N144" s="169">
        <f ca="1">IFERROR(__xludf.DUMMYFUNCTION("IMPORTRANGE(""https://docs.google.com/spreadsheets/d/1Yj_ptqi66GCucihVvJfMjLAmec39IyEx_6qawtMGysU/edit?usp=sharing"",""สบก!BK42"")"),380407)</f>
        <v>380407</v>
      </c>
      <c r="O144" s="169">
        <f ca="1">IF(L144&gt;0,N144*100/L144,0)</f>
        <v>64.519504748982357</v>
      </c>
      <c r="P144" s="169">
        <f ca="1">IF(M144&gt;0,N144*100/M144,0)</f>
        <v>84.380191870459711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IFERROR(__xludf.DUMMYFUNCTION("IMPORTRANGE(""https://docs.google.com/spreadsheets/d/1Yj_ptqi66GCucihVvJfMjLAmec39IyEx_6qawtMGysU/edit?usp=sharing"",""สบก!BG42"")"),120000)</f>
        <v>120000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IFERROR(__xludf.DUMMYFUNCTION("IMPORTRANGE(""https://docs.google.com/spreadsheets/d/1XL5vhW3sbDhbH9Cz0tuDiY8C3ctxq1tqvaCgkFb8cCA/edit?usp=sharing"",""นครราชสีมา!I74"")"),4)</f>
        <v>4</v>
      </c>
      <c r="J149" s="275">
        <f ca="1">IFERROR(__xludf.DUMMYFUNCTION("IMPORTRANGE(""https://docs.google.com/spreadsheets/d/1XL5vhW3sbDhbH9Cz0tuDiY8C3ctxq1tqvaCgkFb8cCA/edit?usp=sharing"",""นครราชสีมา!J74"")"),2)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IFERROR(__xludf.DUMMYFUNCTION("IMPORTRANGE(""https://docs.google.com/spreadsheets/d/1XL5vhW3sbDhbH9Cz0tuDiY8C3ctxq1tqvaCgkFb8cCA/edit?usp=sharing"",""นครราชสีมา!J84"")"),85)</f>
        <v>85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IFERROR(__xludf.DUMMYFUNCTION("IMPORTRANGE(""https://docs.google.com/spreadsheets/d/1XL5vhW3sbDhbH9Cz0tuDiY8C3ctxq1tqvaCgkFb8cCA/edit?usp=sharing"",""นครราชสีมา!J85"")"),85)</f>
        <v>85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IFERROR(__xludf.DUMMYFUNCTION("IMPORTRANGE(""https://docs.google.com/spreadsheets/d/1XL5vhW3sbDhbH9Cz0tuDiY8C3ctxq1tqvaCgkFb8cCA/edit?usp=sharing"",""นครราชสีมา!J88"")"),0)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IFERROR(__xludf.DUMMYFUNCTION("IMPORTRANGE(""https://docs.google.com/spreadsheets/d/1XL5vhW3sbDhbH9Cz0tuDiY8C3ctxq1tqvaCgkFb8cCA/edit?usp=sharing"",""นครราชสีมา!I89"")"),5)</f>
        <v>5</v>
      </c>
      <c r="J164" s="284">
        <f ca="1">IFERROR(__xludf.DUMMYFUNCTION("IMPORTRANGE(""https://docs.google.com/spreadsheets/d/1XL5vhW3sbDhbH9Cz0tuDiY8C3ctxq1tqvaCgkFb8cCA/edit?usp=sharing"",""นครราชสีมา!J89"")"),5)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IFERROR(__xludf.DUMMYFUNCTION("IMPORTRANGE(""https://docs.google.com/spreadsheets/d/1XL5vhW3sbDhbH9Cz0tuDiY8C3ctxq1tqvaCgkFb8cCA/edit?usp=sharing"",""นครราชสีมา!J100"")"),0)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IFERROR(__xludf.DUMMYFUNCTION("IMPORTRANGE(""https://docs.google.com/spreadsheets/d/1XL5vhW3sbDhbH9Cz0tuDiY8C3ctxq1tqvaCgkFb8cCA/edit?usp=sharing"",""นครราชสีมา!I101"")"),0)</f>
        <v>0</v>
      </c>
      <c r="J176" s="284">
        <f ca="1">IFERROR(__xludf.DUMMYFUNCTION("IMPORTRANGE(""https://docs.google.com/spreadsheets/d/1XL5vhW3sbDhbH9Cz0tuDiY8C3ctxq1tqvaCgkFb8cCA/edit?usp=sharing"",""นครราชสีมา!J101"")"),0)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IFERROR(__xludf.DUMMYFUNCTION("IMPORTRANGE(""https://docs.google.com/spreadsheets/d/1XL5vhW3sbDhbH9Cz0tuDiY8C3ctxq1tqvaCgkFb8cCA/edit?usp=sharing"",""นครราชสีมา!J113"")"),0)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IFERROR(__xludf.DUMMYFUNCTION("IMPORTRANGE(""https://docs.google.com/spreadsheets/d/1XL5vhW3sbDhbH9Cz0tuDiY8C3ctxq1tqvaCgkFb8cCA/edit?usp=sharing"",""นครราชสีมา!I114"")"),70000)</f>
        <v>70000</v>
      </c>
      <c r="J189" s="284">
        <f ca="1">IFERROR(__xludf.DUMMYFUNCTION("IMPORTRANGE(""https://docs.google.com/spreadsheets/d/1XL5vhW3sbDhbH9Cz0tuDiY8C3ctxq1tqvaCgkFb8cCA/edit?usp=sharing"",""นครราชสีมา!J114"")"),0)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IFERROR(__xludf.DUMMYFUNCTION("IMPORTRANGE(""https://docs.google.com/spreadsheets/d/1XL5vhW3sbDhbH9Cz0tuDiY8C3ctxq1tqvaCgkFb8cCA/edit?usp=sharing"",""นครราชสีมา!J128"")"),0)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IFERROR(__xludf.DUMMYFUNCTION("IMPORTRANGE(""https://docs.google.com/spreadsheets/d/1XL5vhW3sbDhbH9Cz0tuDiY8C3ctxq1tqvaCgkFb8cCA/edit?usp=sharing"",""นครราชสีมา!I129"")"),0)</f>
        <v>0</v>
      </c>
      <c r="J204" s="284">
        <f ca="1">IFERROR(__xludf.DUMMYFUNCTION("IMPORTRANGE(""https://docs.google.com/spreadsheets/d/1XL5vhW3sbDhbH9Cz0tuDiY8C3ctxq1tqvaCgkFb8cCA/edit?usp=sharing"",""นครราชสีมา!J129"")"),0)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IFERROR(__xludf.DUMMYFUNCTION("IMPORTRANGE(""https://docs.google.com/spreadsheets/d/1XL5vhW3sbDhbH9Cz0tuDiY8C3ctxq1tqvaCgkFb8cCA/edit?usp=sharing"",""นครราชสีมา!J143"")"),0)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IFERROR(__xludf.DUMMYFUNCTION("IMPORTRANGE(""https://docs.google.com/spreadsheets/d/1XL5vhW3sbDhbH9Cz0tuDiY8C3ctxq1tqvaCgkFb8cCA/edit?usp=sharing"",""นครราชสีมา!I144"")"),15)</f>
        <v>15</v>
      </c>
      <c r="J219" s="267">
        <f ca="1">IFERROR(__xludf.DUMMYFUNCTION("IMPORTRANGE(""https://docs.google.com/spreadsheets/d/1XL5vhW3sbDhbH9Cz0tuDiY8C3ctxq1tqvaCgkFb8cCA/edit?usp=sharing"",""นครราชสีมา!J144"")"),15)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278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IFERROR(__xludf.DUMMYFUNCTION("IMPORTRANGE(""https://docs.google.com/spreadsheets/d/1Yj_ptqi66GCucihVvJfMjLAmec39IyEx_6qawtMGysU/edit?usp=sharing"",""สบก!BS42"")"),21125)</f>
        <v>21125</v>
      </c>
      <c r="N224" s="169">
        <f ca="1">IFERROR(__xludf.DUMMYFUNCTION("IMPORTRANGE(""https://docs.google.com/spreadsheets/d/1Yj_ptqi66GCucihVvJfMjLAmec39IyEx_6qawtMGysU/edit?usp=sharing"",""สบก!BT42"")"),21125)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IFERROR(__xludf.DUMMYFUNCTION("IMPORTRANGE(""https://docs.google.com/spreadsheets/d/1XL5vhW3sbDhbH9Cz0tuDiY8C3ctxq1tqvaCgkFb8cCA/edit?usp=sharing"",""นครราชสีมา!I149"")"),15)</f>
        <v>15</v>
      </c>
      <c r="J229" s="267">
        <f ca="1">IFERROR(__xludf.DUMMYFUNCTION("IMPORTRANGE(""https://docs.google.com/spreadsheets/d/1XL5vhW3sbDhbH9Cz0tuDiY8C3ctxq1tqvaCgkFb8cCA/edit?usp=sharing"",""นครราชสีมา!J149"")"),15)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IFERROR(__xludf.DUMMYFUNCTION("IMPORTRANGE(""https://docs.google.com/spreadsheets/d/1XL5vhW3sbDhbH9Cz0tuDiY8C3ctxq1tqvaCgkFb8cCA/edit?usp=sharing"",""นครราชสีมา!I158"")"),0)</f>
        <v>0</v>
      </c>
      <c r="J238" s="267">
        <f ca="1">IFERROR(__xludf.DUMMYFUNCTION("IMPORTRANGE(""https://docs.google.com/spreadsheets/d/1XL5vhW3sbDhbH9Cz0tuDiY8C3ctxq1tqvaCgkFb8cCA/edit?usp=sharing"",""นครราชสีมา!J158"")"),0)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IFERROR(__xludf.DUMMYFUNCTION("IMPORTRANGE(""https://docs.google.com/spreadsheets/d/1XL5vhW3sbDhbH9Cz0tuDiY8C3ctxq1tqvaCgkFb8cCA/edit?usp=sharing"",""นครราชสีมา!J166"")"),0)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IFERROR(__xludf.DUMMYFUNCTION("IMPORTRANGE(""https://docs.google.com/spreadsheets/d/1XL5vhW3sbDhbH9Cz0tuDiY8C3ctxq1tqvaCgkFb8cCA/edit?usp=sharing"",""นครราชสีมา!I169"")"),50)</f>
        <v>50</v>
      </c>
      <c r="J249" s="316">
        <f ca="1">IFERROR(__xludf.DUMMYFUNCTION("IMPORTRANGE(""https://docs.google.com/spreadsheets/d/1XL5vhW3sbDhbH9Cz0tuDiY8C3ctxq1tqvaCgkFb8cCA/edit?usp=sharing"",""นครราชสีมา!J169"")"),50)</f>
        <v>50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270100</v>
      </c>
      <c r="N250" s="152">
        <f t="shared" ca="1" si="77"/>
        <v>138273.07999999999</v>
      </c>
      <c r="O250" s="151">
        <f t="shared" ref="O250:O252" ca="1" si="78">IF(L250&gt;0,N250*100/L250,0)</f>
        <v>47.337583019513858</v>
      </c>
      <c r="P250" s="151">
        <f t="shared" ref="P250:P252" ca="1" si="79">IF(M250&gt;0,N250*100/M250,0)</f>
        <v>51.193291373565337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270100</v>
      </c>
      <c r="N252" s="157">
        <f t="shared" ca="1" si="81"/>
        <v>138273.07999999999</v>
      </c>
      <c r="O252" s="156">
        <f t="shared" ca="1" si="78"/>
        <v>47.337583019513858</v>
      </c>
      <c r="P252" s="156">
        <f t="shared" ca="1" si="79"/>
        <v>51.193291373565337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IFERROR(__xludf.DUMMYFUNCTION("IMPORTRANGE(""https://docs.google.com/spreadsheets/d/1Yj_ptqi66GCucihVvJfMjLAmec39IyEx_6qawtMGysU/edit?usp=sharing"",""สบก!CB42"")"),270100)</f>
        <v>270100</v>
      </c>
      <c r="N254" s="169">
        <f ca="1">IFERROR(__xludf.DUMMYFUNCTION("IMPORTRANGE(""https://docs.google.com/spreadsheets/d/1Yj_ptqi66GCucihVvJfMjLAmec39IyEx_6qawtMGysU/edit?usp=sharing"",""สบก!CC42"")"),138273.08)</f>
        <v>138273.07999999999</v>
      </c>
      <c r="O254" s="169">
        <f ca="1">IF(L254&gt;0,N254*100/L254,0)</f>
        <v>47.337583019513858</v>
      </c>
      <c r="P254" s="169">
        <f ca="1">IF(M254&gt;0,N254*100/M254,0)</f>
        <v>51.193291373565337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IFERROR(__xludf.DUMMYFUNCTION("IMPORTRANGE(""https://docs.google.com/spreadsheets/d/1XL5vhW3sbDhbH9Cz0tuDiY8C3ctxq1tqvaCgkFb8cCA/edit?usp=sharing"",""นครราชสีมา!J184"")"),0)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IFERROR(__xludf.DUMMYFUNCTION("IMPORTRANGE(""https://docs.google.com/spreadsheets/d/1XL5vhW3sbDhbH9Cz0tuDiY8C3ctxq1tqvaCgkFb8cCA/edit?usp=sharing"",""นครราชสีมา!I185"")"),20)</f>
        <v>20</v>
      </c>
      <c r="J270" s="316">
        <f ca="1">IFERROR(__xludf.DUMMYFUNCTION("IMPORTRANGE(""https://docs.google.com/spreadsheets/d/1XL5vhW3sbDhbH9Cz0tuDiY8C3ctxq1tqvaCgkFb8cCA/edit?usp=sharing"",""นครราชสีมา!J185"")"),20)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73600</v>
      </c>
      <c r="M271" s="152">
        <f t="shared" ca="1" si="83"/>
        <v>33000</v>
      </c>
      <c r="N271" s="152">
        <f t="shared" ca="1" si="83"/>
        <v>23810</v>
      </c>
      <c r="O271" s="151">
        <f t="shared" ref="O271:O273" ca="1" si="84">IF(L271&gt;0,N271*100/L271,0)</f>
        <v>32.350543478260867</v>
      </c>
      <c r="P271" s="151">
        <f t="shared" ref="P271:P273" ca="1" si="85">IF(M271&gt;0,N271*100/M271,0)</f>
        <v>72.151515151515156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73600</v>
      </c>
      <c r="M273" s="157">
        <f t="shared" ca="1" si="87"/>
        <v>33000</v>
      </c>
      <c r="N273" s="157">
        <f t="shared" ca="1" si="87"/>
        <v>23810</v>
      </c>
      <c r="O273" s="156">
        <f t="shared" ca="1" si="84"/>
        <v>32.350543478260867</v>
      </c>
      <c r="P273" s="156">
        <f t="shared" ca="1" si="85"/>
        <v>72.151515151515156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73600</v>
      </c>
      <c r="M275" s="168">
        <f ca="1">IFERROR(__xludf.DUMMYFUNCTION("IMPORTRANGE(""https://docs.google.com/spreadsheets/d/1Yj_ptqi66GCucihVvJfMjLAmec39IyEx_6qawtMGysU/edit?usp=sharing"",""สบก!CK42"")"),33000)</f>
        <v>33000</v>
      </c>
      <c r="N275" s="169">
        <f ca="1">IFERROR(__xludf.DUMMYFUNCTION("IMPORTRANGE(""https://docs.google.com/spreadsheets/d/1Yj_ptqi66GCucihVvJfMjLAmec39IyEx_6qawtMGysU/edit?usp=sharing"",""สบก!CL42"")"),23810)</f>
        <v>23810</v>
      </c>
      <c r="O275" s="169">
        <f ca="1">IF(L275&gt;0,N275*100/L275,0)</f>
        <v>32.350543478260867</v>
      </c>
      <c r="P275" s="169">
        <f ca="1">IF(M275&gt;0,N275*100/M275,0)</f>
        <v>72.151515151515156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IFERROR(__xludf.DUMMYFUNCTION("IMPORTRANGE(""https://docs.google.com/spreadsheets/d/1Yj_ptqi66GCucihVvJfMjLAmec39IyEx_6qawtMGysU/edit?usp=sharing"",""สบก!CH42"")"),73600)</f>
        <v>73600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IFERROR(__xludf.DUMMYFUNCTION("IMPORTRANGE(""https://docs.google.com/spreadsheets/d/1XL5vhW3sbDhbH9Cz0tuDiY8C3ctxq1tqvaCgkFb8cCA/edit?usp=sharing"",""นครราชสีมา!J197"")"),0)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IFERROR(__xludf.DUMMYFUNCTION("IMPORTRANGE(""https://docs.google.com/spreadsheets/d/1XL5vhW3sbDhbH9Cz0tuDiY8C3ctxq1tqvaCgkFb8cCA/edit?usp=sharing"",""นครราชสีมา!I199"")"),20)</f>
        <v>20</v>
      </c>
      <c r="J289" s="316">
        <f ca="1">IFERROR(__xludf.DUMMYFUNCTION("IMPORTRANGE(""https://docs.google.com/spreadsheets/d/1XL5vhW3sbDhbH9Cz0tuDiY8C3ctxq1tqvaCgkFb8cCA/edit?usp=sharing"",""นครราชสีมา!J199"")"),20)</f>
        <v>20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74920</v>
      </c>
      <c r="M290" s="152">
        <f t="shared" ca="1" si="88"/>
        <v>74920</v>
      </c>
      <c r="N290" s="152">
        <f t="shared" ca="1" si="88"/>
        <v>37068</v>
      </c>
      <c r="O290" s="151">
        <f t="shared" ref="O290:O292" ca="1" si="89">IF(L290&gt;0,N290*100/L290,0)</f>
        <v>49.4767752269087</v>
      </c>
      <c r="P290" s="151">
        <f t="shared" ref="P290:P292" ca="1" si="90">IF(M290&gt;0,N290*100/M290,0)</f>
        <v>49.4767752269087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74920</v>
      </c>
      <c r="M292" s="157">
        <f t="shared" ca="1" si="92"/>
        <v>74920</v>
      </c>
      <c r="N292" s="157">
        <f t="shared" ca="1" si="92"/>
        <v>37068</v>
      </c>
      <c r="O292" s="156">
        <f t="shared" ca="1" si="89"/>
        <v>49.4767752269087</v>
      </c>
      <c r="P292" s="156">
        <f t="shared" ca="1" si="90"/>
        <v>49.4767752269087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74920</v>
      </c>
      <c r="M294" s="168">
        <f ca="1">IFERROR(__xludf.DUMMYFUNCTION("IMPORTRANGE(""https://docs.google.com/spreadsheets/d/1Yj_ptqi66GCucihVvJfMjLAmec39IyEx_6qawtMGysU/edit?usp=sharing"",""สบก!CT42"")"),74920)</f>
        <v>74920</v>
      </c>
      <c r="N294" s="169">
        <f ca="1">IFERROR(__xludf.DUMMYFUNCTION("IMPORTRANGE(""https://docs.google.com/spreadsheets/d/1Yj_ptqi66GCucihVvJfMjLAmec39IyEx_6qawtMGysU/edit?usp=sharing"",""สบก!CU42"")"),37068)</f>
        <v>37068</v>
      </c>
      <c r="O294" s="169">
        <f ca="1">IF(L294&gt;0,N294*100/L294,0)</f>
        <v>49.4767752269087</v>
      </c>
      <c r="P294" s="169">
        <f ca="1">IF(M294&gt;0,N294*100/M294,0)</f>
        <v>49.4767752269087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168">
        <f ca="1">IFERROR(__xludf.DUMMYFUNCTION("IMPORTRANGE(""https://docs.google.com/spreadsheets/d/1Yj_ptqi66GCucihVvJfMjLAmec39IyEx_6qawtMGysU/edit?usp=sharing"",""สบก!CQ42"")"),74920)</f>
        <v>74920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IFERROR(__xludf.DUMMYFUNCTION("IMPORTRANGE(""https://docs.google.com/spreadsheets/d/1XL5vhW3sbDhbH9Cz0tuDiY8C3ctxq1tqvaCgkFb8cCA/edit?usp=sharing"",""นครราชสีมา!J206"")"),1)</f>
        <v>1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IFERROR(__xludf.DUMMYFUNCTION("IMPORTRANGE(""https://docs.google.com/spreadsheets/d/1XL5vhW3sbDhbH9Cz0tuDiY8C3ctxq1tqvaCgkFb8cCA/edit?usp=sharing"",""นครราชสีมา!J207"")"),1)</f>
        <v>1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IFERROR(__xludf.DUMMYFUNCTION("IMPORTRANGE(""https://docs.google.com/spreadsheets/d/1XL5vhW3sbDhbH9Cz0tuDiY8C3ctxq1tqvaCgkFb8cCA/edit?usp=sharing"",""นครราชสีมา!J208"")"),1)</f>
        <v>1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4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IFERROR(__xludf.DUMMYFUNCTION("IMPORTRANGE(""https://docs.google.com/spreadsheets/d/1XL5vhW3sbDhbH9Cz0tuDiY8C3ctxq1tqvaCgkFb8cCA/edit?usp=sharing"",""นครราชสีมา!J213"")"),0)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IFERROR(__xludf.DUMMYFUNCTION("IMPORTRANGE(""https://docs.google.com/spreadsheets/d/1XL5vhW3sbDhbH9Cz0tuDiY8C3ctxq1tqvaCgkFb8cCA/edit?usp=sharing"",""นครราชสีมา!I214"")"),2)</f>
        <v>2</v>
      </c>
      <c r="J309" s="333">
        <f ca="1">IFERROR(__xludf.DUMMYFUNCTION("IMPORTRANGE(""https://docs.google.com/spreadsheets/d/1XL5vhW3sbDhbH9Cz0tuDiY8C3ctxq1tqvaCgkFb8cCA/edit?usp=sharing"",""นครราชสีมา!J214"")"),2)</f>
        <v>2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447600</v>
      </c>
      <c r="M310" s="152">
        <f t="shared" ca="1" si="93"/>
        <v>335700</v>
      </c>
      <c r="N310" s="152">
        <f t="shared" ca="1" si="93"/>
        <v>182626.24</v>
      </c>
      <c r="O310" s="151">
        <f t="shared" ref="O310:O312" ca="1" si="94">IF(L310&gt;0,N310*100/L310,0)</f>
        <v>40.801215370866842</v>
      </c>
      <c r="P310" s="151">
        <f t="shared" ref="P310:P312" ca="1" si="95">IF(M310&gt;0,N310*100/M310,0)</f>
        <v>54.40162049448913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447600</v>
      </c>
      <c r="M312" s="157">
        <f t="shared" ca="1" si="97"/>
        <v>335700</v>
      </c>
      <c r="N312" s="157">
        <f t="shared" ca="1" si="97"/>
        <v>182626.24</v>
      </c>
      <c r="O312" s="156">
        <f t="shared" ca="1" si="94"/>
        <v>40.801215370866842</v>
      </c>
      <c r="P312" s="156">
        <f t="shared" ca="1" si="95"/>
        <v>54.40162049448913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IFERROR(__xludf.DUMMYFUNCTION("IMPORTRANGE(""https://docs.google.com/spreadsheets/d/1Yj_ptqi66GCucihVvJfMjLAmec39IyEx_6qawtMGysU/edit?usp=sharing"",""สบก!DC42"")"),335700)</f>
        <v>335700</v>
      </c>
      <c r="N314" s="169">
        <f ca="1">IFERROR(__xludf.DUMMYFUNCTION("IMPORTRANGE(""https://docs.google.com/spreadsheets/d/1Yj_ptqi66GCucihVvJfMjLAmec39IyEx_6qawtMGysU/edit?usp=sharing"",""สบก!DD42"")"),182626.24)</f>
        <v>182626.24</v>
      </c>
      <c r="O314" s="169">
        <f ca="1">IF(L314&gt;0,N314*100/L314,0)</f>
        <v>40.801215370866842</v>
      </c>
      <c r="P314" s="169">
        <f ca="1">IF(M314&gt;0,N314*100/M314,0)</f>
        <v>54.40162049448913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IFERROR(__xludf.DUMMYFUNCTION("IMPORTRANGE(""https://docs.google.com/spreadsheets/d/1XL5vhW3sbDhbH9Cz0tuDiY8C3ctxq1tqvaCgkFb8cCA/edit?usp=sharing"",""นครราชสีมา!J221"")"),1)</f>
        <v>1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4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IFERROR(__xludf.DUMMYFUNCTION("IMPORTRANGE(""https://docs.google.com/spreadsheets/d/1XL5vhW3sbDhbH9Cz0tuDiY8C3ctxq1tqvaCgkFb8cCA/edit?usp=sharing"",""นครราชสีมา!J226"")"),0)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IFERROR(__xludf.DUMMYFUNCTION("IMPORTRANGE(""https://docs.google.com/spreadsheets/d/1XL5vhW3sbDhbH9Cz0tuDiY8C3ctxq1tqvaCgkFb8cCA/edit?usp=sharing"",""นครราชสีมา!I228"")"),1550)</f>
        <v>1550</v>
      </c>
      <c r="J328" s="339">
        <f ca="1">IFERROR(__xludf.DUMMYFUNCTION("IMPORTRANGE(""https://docs.google.com/spreadsheets/d/1XL5vhW3sbDhbH9Cz0tuDiY8C3ctxq1tqvaCgkFb8cCA/edit?usp=sharing"",""นครราชสีมา!J228"")"),843)</f>
        <v>843</v>
      </c>
      <c r="K328" s="317">
        <f ca="1">IF(I328&gt;0,J328*100/I328,0)</f>
        <v>54.387096774193552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2505960</v>
      </c>
      <c r="M329" s="152">
        <f t="shared" ca="1" si="98"/>
        <v>2203360</v>
      </c>
      <c r="N329" s="152">
        <f t="shared" ca="1" si="98"/>
        <v>1723087.11</v>
      </c>
      <c r="O329" s="151">
        <f t="shared" ref="O329:O331" ca="1" si="99">IF(L329&gt;0,N329*100/L329,0)</f>
        <v>68.759561605133356</v>
      </c>
      <c r="P329" s="151">
        <f t="shared" ref="P329:P331" ca="1" si="100">IF(M329&gt;0,N329*100/M329,0)</f>
        <v>78.202704505845617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2505960</v>
      </c>
      <c r="M331" s="157">
        <f t="shared" ca="1" si="102"/>
        <v>2203360</v>
      </c>
      <c r="N331" s="157">
        <f t="shared" ca="1" si="102"/>
        <v>1723087.11</v>
      </c>
      <c r="O331" s="156">
        <f t="shared" ca="1" si="99"/>
        <v>68.759561605133356</v>
      </c>
      <c r="P331" s="156">
        <f t="shared" ca="1" si="100"/>
        <v>78.202704505845617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2505960</v>
      </c>
      <c r="M333" s="168">
        <f ca="1">IFERROR(__xludf.DUMMYFUNCTION("IMPORTRANGE(""https://docs.google.com/spreadsheets/d/1Yj_ptqi66GCucihVvJfMjLAmec39IyEx_6qawtMGysU/edit?usp=sharing"",""สบก!DL42"")"),2203360)</f>
        <v>2203360</v>
      </c>
      <c r="N333" s="169">
        <f ca="1">IFERROR(__xludf.DUMMYFUNCTION("IMPORTRANGE(""https://docs.google.com/spreadsheets/d/1Yj_ptqi66GCucihVvJfMjLAmec39IyEx_6qawtMGysU/edit?usp=sharing"",""สบก!DM42"")"),1723087.11)</f>
        <v>1723087.11</v>
      </c>
      <c r="O333" s="169">
        <f ca="1">IF(L333&gt;0,N333*100/L333,0)</f>
        <v>68.759561605133356</v>
      </c>
      <c r="P333" s="169">
        <f ca="1">IF(M333&gt;0,N333*100/M333,0)</f>
        <v>78.202704505845617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IFERROR(__xludf.DUMMYFUNCTION("IMPORTRANGE(""https://docs.google.com/spreadsheets/d/1Yj_ptqi66GCucihVvJfMjLAmec39IyEx_6qawtMGysU/edit?usp=sharing"",""สบก!DI42"")"),1839960)</f>
        <v>1839960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IFERROR(__xludf.DUMMYFUNCTION("IMPORTRANGE(""https://docs.google.com/spreadsheets/d/1XL5vhW3sbDhbH9Cz0tuDiY8C3ctxq1tqvaCgkFb8cCA/edit?usp=sharing"",""นครราชสีมา!J234"")"),1045)</f>
        <v>1045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IFERROR(__xludf.DUMMYFUNCTION("IMPORTRANGE(""https://docs.google.com/spreadsheets/d/1XL5vhW3sbDhbH9Cz0tuDiY8C3ctxq1tqvaCgkFb8cCA/edit?usp=sharing"",""นครราชสีมา!J235"")"),10343.96)</f>
        <v>10343.959999999999</v>
      </c>
      <c r="K340" s="342">
        <f t="shared" ca="1" si="103"/>
        <v>66.307435897435894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IFERROR(__xludf.DUMMYFUNCTION("IMPORTRANGE(""https://docs.google.com/spreadsheets/d/1XL5vhW3sbDhbH9Cz0tuDiY8C3ctxq1tqvaCgkFb8cCA/edit?usp=sharing"",""นครราชสีมา!J236"")"),1307)</f>
        <v>1307</v>
      </c>
      <c r="K341" s="342">
        <f t="shared" ca="1" si="103"/>
        <v>84.322580645161295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IFERROR(__xludf.DUMMYFUNCTION("IMPORTRANGE(""https://docs.google.com/spreadsheets/d/1XL5vhW3sbDhbH9Cz0tuDiY8C3ctxq1tqvaCgkFb8cCA/edit?usp=sharing"",""นครราชสีมา!J237"")"),16043.23)</f>
        <v>16043.23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IFERROR(__xludf.DUMMYFUNCTION("IMPORTRANGE(""https://docs.google.com/spreadsheets/d/1XL5vhW3sbDhbH9Cz0tuDiY8C3ctxq1tqvaCgkFb8cCA/edit?usp=sharing"",""นครราชสีมา!J240"")"),843)</f>
        <v>843</v>
      </c>
      <c r="K345" s="342">
        <f t="shared" ca="1" si="103"/>
        <v>54.387096774193552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IFERROR(__xludf.DUMMYFUNCTION("IMPORTRANGE(""https://docs.google.com/spreadsheets/d/1XL5vhW3sbDhbH9Cz0tuDiY8C3ctxq1tqvaCgkFb8cCA/edit?usp=sharing"",""นครราชสีมา!J241"")"),11514.8)</f>
        <v>11514.8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IFERROR(__xludf.DUMMYFUNCTION("IMPORTRANGE(""https://docs.google.com/spreadsheets/d/1XL5vhW3sbDhbH9Cz0tuDiY8C3ctxq1tqvaCgkFb8cCA/edit?usp=sharing"",""นครราชสีมา!L242"")"),4532521)</f>
        <v>4532521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IFERROR(__xludf.DUMMYFUNCTION("IMPORTRANGE(""https://docs.google.com/spreadsheets/d/1XL5vhW3sbDhbH9Cz0tuDiY8C3ctxq1tqvaCgkFb8cCA/edit?usp=sharing"",""นครราชสีมา!M242"")"),2271088.25)</f>
        <v>2271088.25</v>
      </c>
      <c r="O347" s="358">
        <f ca="1">+IF(L347&gt;0,N347*100/L347,0)</f>
        <v>50.106513571586319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IFERROR(__xludf.DUMMYFUNCTION("IMPORTRANGE(""https://docs.google.com/spreadsheets/d/1XL5vhW3sbDhbH9Cz0tuDiY8C3ctxq1tqvaCgkFb8cCA/edit?usp=sharing"",""นครราชสีมา!M244"")"),423399.92)</f>
        <v>423399.92</v>
      </c>
      <c r="O349" s="373">
        <f ca="1">+IF(L349&gt;0,N349*100/L349,0)</f>
        <v>80.007543461829172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IFERROR(__xludf.DUMMYFUNCTION("IMPORTRANGE(""https://docs.google.com/spreadsheets/d/1XL5vhW3sbDhbH9Cz0tuDiY8C3ctxq1tqvaCgkFb8cCA/edit?usp=sharing"",""นครราชสีมา!M247"")"),423399.92)</f>
        <v>423399.92</v>
      </c>
      <c r="O352" s="165">
        <f t="shared" ca="1" si="105"/>
        <v>80.007543461829172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IFERROR(__xludf.DUMMYFUNCTION("IMPORTRANGE(""https://docs.google.com/spreadsheets/d/1XL5vhW3sbDhbH9Cz0tuDiY8C3ctxq1tqvaCgkFb8cCA/edit?usp=sharing"",""นครราชสีมา!L249"")"),529200)</f>
        <v>529200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IFERROR(__xludf.DUMMYFUNCTION("IMPORTRANGE(""https://docs.google.com/spreadsheets/d/1XL5vhW3sbDhbH9Cz0tuDiY8C3ctxq1tqvaCgkFb8cCA/edit?usp=sharing"",""นครราชสีมา!M249"")"),423399.92)</f>
        <v>423399.92</v>
      </c>
      <c r="O354" s="169">
        <f t="shared" ca="1" si="105"/>
        <v>80.007543461829172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IFERROR(__xludf.DUMMYFUNCTION("IMPORTRANGE(""https://docs.google.com/spreadsheets/d/1XL5vhW3sbDhbH9Cz0tuDiY8C3ctxq1tqvaCgkFb8cCA/edit?usp=sharing"",""นครราชสีมา!M252"")"),75399.92)</f>
        <v>75399.92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IFERROR(__xludf.DUMMYFUNCTION("IMPORTRANGE(""https://docs.google.com/spreadsheets/d/1XL5vhW3sbDhbH9Cz0tuDiY8C3ctxq1tqvaCgkFb8cCA/edit?usp=sharing"",""นครราชสีมา!M253"")"),5200)</f>
        <v>5200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IFERROR(__xludf.DUMMYFUNCTION("IMPORTRANGE(""https://docs.google.com/spreadsheets/d/1XL5vhW3sbDhbH9Cz0tuDiY8C3ctxq1tqvaCgkFb8cCA/edit?usp=sharing"",""นครราชสีมา!J274"")"),0)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IFERROR(__xludf.DUMMYFUNCTION("IMPORTRANGE(""https://docs.google.com/spreadsheets/d/1XL5vhW3sbDhbH9Cz0tuDiY8C3ctxq1tqvaCgkFb8cCA/edit?usp=sharing"",""นครราชสีมา!M275"")"),137800)</f>
        <v>137800</v>
      </c>
      <c r="O380" s="373">
        <f ca="1">+IF(L380&gt;0,N380*100/L380,0)</f>
        <v>13.397892116828064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IFERROR(__xludf.DUMMYFUNCTION("IMPORTRANGE(""https://docs.google.com/spreadsheets/d/1XL5vhW3sbDhbH9Cz0tuDiY8C3ctxq1tqvaCgkFb8cCA/edit?usp=sharing"",""นครราชสีมา!M278"")"),137800)</f>
        <v>137800</v>
      </c>
      <c r="O383" s="165">
        <f t="shared" ca="1" si="109"/>
        <v>13.397892116828064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IFERROR(__xludf.DUMMYFUNCTION("IMPORTRANGE(""https://docs.google.com/spreadsheets/d/1XL5vhW3sbDhbH9Cz0tuDiY8C3ctxq1tqvaCgkFb8cCA/edit?usp=sharing"",""นครราชสีมา!M280"")"),137800)</f>
        <v>137800</v>
      </c>
      <c r="O385" s="169">
        <f t="shared" ca="1" si="109"/>
        <v>13.397892116828064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IFERROR(__xludf.DUMMYFUNCTION("IMPORTRANGE(""https://docs.google.com/spreadsheets/d/1XL5vhW3sbDhbH9Cz0tuDiY8C3ctxq1tqvaCgkFb8cCA/edit?usp=sharing"",""นครราชสีมา!M281"")"),55200)</f>
        <v>55200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IFERROR(__xludf.DUMMYFUNCTION("IMPORTRANGE(""https://docs.google.com/spreadsheets/d/1XL5vhW3sbDhbH9Cz0tuDiY8C3ctxq1tqvaCgkFb8cCA/edit?usp=sharing"",""นครราชสีมา!M283"")"),70400)</f>
        <v>70400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IFERROR(__xludf.DUMMYFUNCTION("IMPORTRANGE(""https://docs.google.com/spreadsheets/d/1XL5vhW3sbDhbH9Cz0tuDiY8C3ctxq1tqvaCgkFb8cCA/edit?usp=sharing"",""นครราชสีมา!M284"")"),12200)</f>
        <v>12200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IFERROR(__xludf.DUMMYFUNCTION("IMPORTRANGE(""https://docs.google.com/spreadsheets/d/1XL5vhW3sbDhbH9Cz0tuDiY8C3ctxq1tqvaCgkFb8cCA/edit?usp=sharing"",""นครราชสีมา!J295"")"),0)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IFERROR(__xludf.DUMMYFUNCTION("IMPORTRANGE(""https://docs.google.com/spreadsheets/d/1XL5vhW3sbDhbH9Cz0tuDiY8C3ctxq1tqvaCgkFb8cCA/edit?usp=sharing"",""นครราชสีมา!M296"")"),245330)</f>
        <v>245330</v>
      </c>
      <c r="O401" s="373">
        <f ca="1">+IF(L401&gt;0,N401*100/L401,0)</f>
        <v>78.980748181057237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IFERROR(__xludf.DUMMYFUNCTION("IMPORTRANGE(""https://docs.google.com/spreadsheets/d/1XL5vhW3sbDhbH9Cz0tuDiY8C3ctxq1tqvaCgkFb8cCA/edit?usp=sharing"",""นครราชสีมา!M299"")"),245330)</f>
        <v>245330</v>
      </c>
      <c r="O404" s="169">
        <f t="shared" ca="1" si="112"/>
        <v>78.980748181057237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IFERROR(__xludf.DUMMYFUNCTION("IMPORTRANGE(""https://docs.google.com/spreadsheets/d/1XL5vhW3sbDhbH9Cz0tuDiY8C3ctxq1tqvaCgkFb8cCA/edit?usp=sharing"",""นครราชสีมา!M301"")"),245330)</f>
        <v>245330</v>
      </c>
      <c r="O406" s="169">
        <f t="shared" ca="1" si="112"/>
        <v>78.980748181057237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IFERROR(__xludf.DUMMYFUNCTION("IMPORTRANGE(""https://docs.google.com/spreadsheets/d/1XL5vhW3sbDhbH9Cz0tuDiY8C3ctxq1tqvaCgkFb8cCA/edit?usp=sharing"",""นครราชสีมา!M302"")"),153690)</f>
        <v>153690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IFERROR(__xludf.DUMMYFUNCTION("IMPORTRANGE(""https://docs.google.com/spreadsheets/d/1XL5vhW3sbDhbH9Cz0tuDiY8C3ctxq1tqvaCgkFb8cCA/edit?usp=sharing"",""นครราชสีมา!M303"")"),86000)</f>
        <v>86000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IFERROR(__xludf.DUMMYFUNCTION("IMPORTRANGE(""https://docs.google.com/spreadsheets/d/1XL5vhW3sbDhbH9Cz0tuDiY8C3ctxq1tqvaCgkFb8cCA/edit?usp=sharing"",""นครราชสีมา!M305"")"),5640)</f>
        <v>5640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IFERROR(__xludf.DUMMYFUNCTION("IMPORTRANGE(""https://docs.google.com/spreadsheets/d/1XL5vhW3sbDhbH9Cz0tuDiY8C3ctxq1tqvaCgkFb8cCA/edit?usp=sharing"",""นครราชสีมา!J329"")"),0)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IFERROR(__xludf.DUMMYFUNCTION("IMPORTRANGE(""https://docs.google.com/spreadsheets/d/1XL5vhW3sbDhbH9Cz0tuDiY8C3ctxq1tqvaCgkFb8cCA/edit?usp=sharing"",""นครราชสีมา!L330"")"),162000)</f>
        <v>162000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IFERROR(__xludf.DUMMYFUNCTION("IMPORTRANGE(""https://docs.google.com/spreadsheets/d/1XL5vhW3sbDhbH9Cz0tuDiY8C3ctxq1tqvaCgkFb8cCA/edit?usp=sharing"",""นครราชสีมา!M330"")"),130900)</f>
        <v>130900</v>
      </c>
      <c r="O435" s="412">
        <f t="shared" ref="O435:O439" ca="1" si="114">+IF(L435&gt;0,N435*100/L435,0)</f>
        <v>80.802469135802468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IFERROR(__xludf.DUMMYFUNCTION("IMPORTRANGE(""https://docs.google.com/spreadsheets/d/1XL5vhW3sbDhbH9Cz0tuDiY8C3ctxq1tqvaCgkFb8cCA/edit?usp=sharing"",""นครราชสีมา!L332"")"),162000)</f>
        <v>162000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IFERROR(__xludf.DUMMYFUNCTION("IMPORTRANGE(""https://docs.google.com/spreadsheets/d/1XL5vhW3sbDhbH9Cz0tuDiY8C3ctxq1tqvaCgkFb8cCA/edit?usp=sharing"",""นครราชสีมา!M332"")"),130900)</f>
        <v>130900</v>
      </c>
      <c r="O437" s="169">
        <f t="shared" ca="1" si="114"/>
        <v>80.802469135802468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IFERROR(__xludf.DUMMYFUNCTION("IMPORTRANGE(""https://docs.google.com/spreadsheets/d/1XL5vhW3sbDhbH9Cz0tuDiY8C3ctxq1tqvaCgkFb8cCA/edit?usp=sharing"",""นครราชสีมา!L334"")"),162000)</f>
        <v>162000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IFERROR(__xludf.DUMMYFUNCTION("IMPORTRANGE(""https://docs.google.com/spreadsheets/d/1XL5vhW3sbDhbH9Cz0tuDiY8C3ctxq1tqvaCgkFb8cCA/edit?usp=sharing"",""นครราชสีมา!M334"")"),130900)</f>
        <v>130900</v>
      </c>
      <c r="O439" s="169">
        <f t="shared" ca="1" si="114"/>
        <v>80.802469135802468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IFERROR(__xludf.DUMMYFUNCTION("IMPORTRANGE(""https://docs.google.com/spreadsheets/d/1XL5vhW3sbDhbH9Cz0tuDiY8C3ctxq1tqvaCgkFb8cCA/edit?usp=sharing"",""นครราชสีมา!M338"")"),130900)</f>
        <v>130900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IFERROR(__xludf.DUMMYFUNCTION("IMPORTRANGE(""https://docs.google.com/spreadsheets/d/1XL5vhW3sbDhbH9Cz0tuDiY8C3ctxq1tqvaCgkFb8cCA/edit?usp=sharing"",""นครราชสีมา!J349"")"),0)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IFERROR(__xludf.DUMMYFUNCTION("IMPORTRANGE(""https://docs.google.com/spreadsheets/d/1XL5vhW3sbDhbH9Cz0tuDiY8C3ctxq1tqvaCgkFb8cCA/edit?usp=sharing"",""นครราชสีมา!L350"")"),759441)</f>
        <v>759441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IFERROR(__xludf.DUMMYFUNCTION("IMPORTRANGE(""https://docs.google.com/spreadsheets/d/1XL5vhW3sbDhbH9Cz0tuDiY8C3ctxq1tqvaCgkFb8cCA/edit?usp=sharing"",""นครราชสีมา!M350"")"),200160.75)</f>
        <v>200160.75</v>
      </c>
      <c r="O455" s="373">
        <f t="shared" ref="O455:O459" ca="1" si="116">+IF(L455&gt;0,N455*100/L455,0)</f>
        <v>26.356326561247023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IFERROR(__xludf.DUMMYFUNCTION("IMPORTRANGE(""https://docs.google.com/spreadsheets/d/1XL5vhW3sbDhbH9Cz0tuDiY8C3ctxq1tqvaCgkFb8cCA/edit?usp=sharing"",""นครราชสีมา!L352"")"),759441)</f>
        <v>759441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IFERROR(__xludf.DUMMYFUNCTION("IMPORTRANGE(""https://docs.google.com/spreadsheets/d/1XL5vhW3sbDhbH9Cz0tuDiY8C3ctxq1tqvaCgkFb8cCA/edit?usp=sharing"",""นครราชสีมา!M352"")"),200160.75)</f>
        <v>200160.75</v>
      </c>
      <c r="O457" s="169">
        <f t="shared" ca="1" si="116"/>
        <v>26.356326561247023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IFERROR(__xludf.DUMMYFUNCTION("IMPORTRANGE(""https://docs.google.com/spreadsheets/d/1XL5vhW3sbDhbH9Cz0tuDiY8C3ctxq1tqvaCgkFb8cCA/edit?usp=sharing"",""นครราชสีมา!L354"")"),759441)</f>
        <v>759441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IFERROR(__xludf.DUMMYFUNCTION("IMPORTRANGE(""https://docs.google.com/spreadsheets/d/1XL5vhW3sbDhbH9Cz0tuDiY8C3ctxq1tqvaCgkFb8cCA/edit?usp=sharing"",""นครราชสีมา!M354"")"),200160.75)</f>
        <v>200160.75</v>
      </c>
      <c r="O459" s="169">
        <f t="shared" ca="1" si="116"/>
        <v>26.356326561247023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IFERROR(__xludf.DUMMYFUNCTION("IMPORTRANGE(""https://docs.google.com/spreadsheets/d/1XL5vhW3sbDhbH9Cz0tuDiY8C3ctxq1tqvaCgkFb8cCA/edit?usp=sharing"",""นครราชสีมา!M357"")"),64166.75)</f>
        <v>64166.75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IFERROR(__xludf.DUMMYFUNCTION("IMPORTRANGE(""https://docs.google.com/spreadsheets/d/1XL5vhW3sbDhbH9Cz0tuDiY8C3ctxq1tqvaCgkFb8cCA/edit?usp=sharing"",""นครราชสีมา!M358"")"),135994)</f>
        <v>135994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IFERROR(__xludf.DUMMYFUNCTION("IMPORTRANGE(""https://docs.google.com/spreadsheets/d/1XL5vhW3sbDhbH9Cz0tuDiY8C3ctxq1tqvaCgkFb8cCA/edit?usp=sharing"",""นครราชสีมา!I359"")"),59004)</f>
        <v>59004</v>
      </c>
      <c r="J464" s="267">
        <f ca="1">IFERROR(__xludf.DUMMYFUNCTION("IMPORTRANGE(""https://docs.google.com/spreadsheets/d/1XL5vhW3sbDhbH9Cz0tuDiY8C3ctxq1tqvaCgkFb8cCA/edit?usp=sharing"",""นครราชสีมา!J359"")"),0)</f>
        <v>0</v>
      </c>
      <c r="K464" s="268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IFERROR(__xludf.DUMMYFUNCTION("IMPORTRANGE(""https://docs.google.com/spreadsheets/d/1XL5vhW3sbDhbH9Cz0tuDiY8C3ctxq1tqvaCgkFb8cCA/edit?usp=sharing"",""นครราชสีมา!I411"")"),0)</f>
        <v>0</v>
      </c>
      <c r="J516" s="267">
        <f ca="1">IFERROR(__xludf.DUMMYFUNCTION("IMPORTRANGE(""https://docs.google.com/spreadsheets/d/1XL5vhW3sbDhbH9Cz0tuDiY8C3ctxq1tqvaCgkFb8cCA/edit?usp=sharing"",""นครราชสีมา!J411"")"),0)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IFERROR(__xludf.DUMMYFUNCTION("IMPORTRANGE(""https://docs.google.com/spreadsheets/d/1XL5vhW3sbDhbH9Cz0tuDiY8C3ctxq1tqvaCgkFb8cCA/edit?usp=sharing"",""นครราชสีมา!I412"")"),0)</f>
        <v>0</v>
      </c>
      <c r="J517" s="284">
        <f ca="1">IFERROR(__xludf.DUMMYFUNCTION("IMPORTRANGE(""https://docs.google.com/spreadsheets/d/1XL5vhW3sbDhbH9Cz0tuDiY8C3ctxq1tqvaCgkFb8cCA/edit?usp=sharing"",""นครราชสีมา!J412"")"),0)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IFERROR(__xludf.DUMMYFUNCTION("IMPORTRANGE(""https://docs.google.com/spreadsheets/d/1XL5vhW3sbDhbH9Cz0tuDiY8C3ctxq1tqvaCgkFb8cCA/edit?usp=sharing"",""นครราชสีมา!I413"")"),0)</f>
        <v>0</v>
      </c>
      <c r="J518" s="284">
        <f ca="1">IFERROR(__xludf.DUMMYFUNCTION("IMPORTRANGE(""https://docs.google.com/spreadsheets/d/1XL5vhW3sbDhbH9Cz0tuDiY8C3ctxq1tqvaCgkFb8cCA/edit?usp=sharing"",""นครราชสีมา!J413"")"),0)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IFERROR(__xludf.DUMMYFUNCTION("IMPORTRANGE(""https://docs.google.com/spreadsheets/d/1XL5vhW3sbDhbH9Cz0tuDiY8C3ctxq1tqvaCgkFb8cCA/edit?usp=sharing"",""นครราชสีมา!I420"")"),887)</f>
        <v>887</v>
      </c>
      <c r="J525" s="284">
        <f ca="1">IFERROR(__xludf.DUMMYFUNCTION("IMPORTRANGE(""https://docs.google.com/spreadsheets/d/1XL5vhW3sbDhbH9Cz0tuDiY8C3ctxq1tqvaCgkFb8cCA/edit?usp=sharing"",""นครราชสีมา!J420"")"),0)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IFERROR(__xludf.DUMMYFUNCTION("IMPORTRANGE(""https://docs.google.com/spreadsheets/d/1XL5vhW3sbDhbH9Cz0tuDiY8C3ctxq1tqvaCgkFb8cCA/edit?usp=sharing"",""นครราชสีมา!I421"")"),57)</f>
        <v>57</v>
      </c>
      <c r="J526" s="284">
        <f ca="1">IFERROR(__xludf.DUMMYFUNCTION("IMPORTRANGE(""https://docs.google.com/spreadsheets/d/1XL5vhW3sbDhbH9Cz0tuDiY8C3ctxq1tqvaCgkFb8cCA/edit?usp=sharing"",""นครราชสีมา!J421"")"),0)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IFERROR(__xludf.DUMMYFUNCTION("IMPORTRANGE(""https://docs.google.com/spreadsheets/d/1XL5vhW3sbDhbH9Cz0tuDiY8C3ctxq1tqvaCgkFb8cCA/edit?usp=sharing"",""นครราชสีมา!M428"")"),26450)</f>
        <v>26450</v>
      </c>
      <c r="O533" s="412">
        <f t="shared" ref="O533:O537" ca="1" si="118">+IF(L533&gt;0,N533*100/L533,0)</f>
        <v>73.390677025527197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IFERROR(__xludf.DUMMYFUNCTION("IMPORTRANGE(""https://docs.google.com/spreadsheets/d/1XL5vhW3sbDhbH9Cz0tuDiY8C3ctxq1tqvaCgkFb8cCA/edit?usp=sharing"",""นครราชสีมา!L430"")"),36040)</f>
        <v>36040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IFERROR(__xludf.DUMMYFUNCTION("IMPORTRANGE(""https://docs.google.com/spreadsheets/d/1XL5vhW3sbDhbH9Cz0tuDiY8C3ctxq1tqvaCgkFb8cCA/edit?usp=sharing"",""นครราชสีมา!M430"")"),26450)</f>
        <v>26450</v>
      </c>
      <c r="O535" s="169">
        <f t="shared" ca="1" si="118"/>
        <v>73.390677025527197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IFERROR(__xludf.DUMMYFUNCTION("IMPORTRANGE(""https://docs.google.com/spreadsheets/d/1XL5vhW3sbDhbH9Cz0tuDiY8C3ctxq1tqvaCgkFb8cCA/edit?usp=sharing"",""นครราชสีมา!L432"")"),36040)</f>
        <v>36040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IFERROR(__xludf.DUMMYFUNCTION("IMPORTRANGE(""https://docs.google.com/spreadsheets/d/1XL5vhW3sbDhbH9Cz0tuDiY8C3ctxq1tqvaCgkFb8cCA/edit?usp=sharing"",""นครราชสีมา!M432"")"),26450)</f>
        <v>26450</v>
      </c>
      <c r="O537" s="169">
        <f t="shared" ca="1" si="118"/>
        <v>73.390677025527197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IFERROR(__xludf.DUMMYFUNCTION("IMPORTRANGE(""https://docs.google.com/spreadsheets/d/1XL5vhW3sbDhbH9Cz0tuDiY8C3ctxq1tqvaCgkFb8cCA/edit?usp=sharing"",""นครราชสีมา!M436"")"),2850)</f>
        <v>2850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IFERROR(__xludf.DUMMYFUNCTION("IMPORTRANGE(""https://docs.google.com/spreadsheets/d/1XL5vhW3sbDhbH9Cz0tuDiY8C3ctxq1tqvaCgkFb8cCA/edit?usp=sharing"",""นครราชสีมา!J446"")"),2632)</f>
        <v>2632</v>
      </c>
      <c r="K551" s="411">
        <f ca="1">IF(I551&gt;0,J551*100/I551,0)</f>
        <v>52.64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IFERROR(__xludf.DUMMYFUNCTION("IMPORTRANGE(""https://docs.google.com/spreadsheets/d/1XL5vhW3sbDhbH9Cz0tuDiY8C3ctxq1tqvaCgkFb8cCA/edit?usp=sharing"",""นครราชสีมา!M446"")"),240140.5)</f>
        <v>240140.5</v>
      </c>
      <c r="O551" s="412">
        <f t="shared" ref="O551:O555" ca="1" si="120">+IF(L551&gt;0,N551*100/L551,0)</f>
        <v>75.043906250000006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IFERROR(__xludf.DUMMYFUNCTION("IMPORTRANGE(""https://docs.google.com/spreadsheets/d/1XL5vhW3sbDhbH9Cz0tuDiY8C3ctxq1tqvaCgkFb8cCA/edit?usp=sharing"",""นครราชสีมา!M448"")"),240140.5)</f>
        <v>240140.5</v>
      </c>
      <c r="O553" s="169">
        <f t="shared" ca="1" si="120"/>
        <v>75.043906250000006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IFERROR(__xludf.DUMMYFUNCTION("IMPORTRANGE(""https://docs.google.com/spreadsheets/d/1XL5vhW3sbDhbH9Cz0tuDiY8C3ctxq1tqvaCgkFb8cCA/edit?usp=sharing"",""นครราชสีมา!M450"")"),240140.5)</f>
        <v>240140.5</v>
      </c>
      <c r="O555" s="169">
        <f t="shared" ca="1" si="120"/>
        <v>75.043906250000006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IFERROR(__xludf.DUMMYFUNCTION("IMPORTRANGE(""https://docs.google.com/spreadsheets/d/1XL5vhW3sbDhbH9Cz0tuDiY8C3ctxq1tqvaCgkFb8cCA/edit?usp=sharing"",""นครราชสีมา!M454"")"),240140.5)</f>
        <v>240140.5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IFERROR(__xludf.DUMMYFUNCTION("IMPORTRANGE(""https://docs.google.com/spreadsheets/d/1XL5vhW3sbDhbH9Cz0tuDiY8C3ctxq1tqvaCgkFb8cCA/edit?usp=sharing"",""นครราชสีมา!J455"")"),2632)</f>
        <v>2632</v>
      </c>
      <c r="K560" s="224">
        <f t="shared" ref="K560:K561" ca="1" si="121">IF(I560&gt;0,J560*100/I560,0)</f>
        <v>52.64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IFERROR(__xludf.DUMMYFUNCTION("IMPORTRANGE(""https://docs.google.com/spreadsheets/d/1XL5vhW3sbDhbH9Cz0tuDiY8C3ctxq1tqvaCgkFb8cCA/edit?usp=sharing"",""นครราชสีมา!J456"")"),145)</f>
        <v>145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IFERROR(__xludf.DUMMYFUNCTION("IMPORTRANGE(""https://docs.google.com/spreadsheets/d/1XL5vhW3sbDhbH9Cz0tuDiY8C3ctxq1tqvaCgkFb8cCA/edit?usp=sharing"",""นครราชสีมา!J459"")"),15146)</f>
        <v>15146</v>
      </c>
      <c r="K564" s="372">
        <f ca="1">IF(I564&gt;0,J564*100/I564,0)</f>
        <v>168.28888888888889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IFERROR(__xludf.DUMMYFUNCTION("IMPORTRANGE(""https://docs.google.com/spreadsheets/d/1XL5vhW3sbDhbH9Cz0tuDiY8C3ctxq1tqvaCgkFb8cCA/edit?usp=sharing"",""นครราชสีมา!M459"")"),160760.74)</f>
        <v>160760.74</v>
      </c>
      <c r="O564" s="373">
        <f t="shared" ref="O564:O568" ca="1" si="122">+IF(L564&gt;0,N564*100/L564,0)</f>
        <v>76.117774621212121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IFERROR(__xludf.DUMMYFUNCTION("IMPORTRANGE(""https://docs.google.com/spreadsheets/d/1XL5vhW3sbDhbH9Cz0tuDiY8C3ctxq1tqvaCgkFb8cCA/edit?usp=sharing"",""นครราชสีมา!M461"")"),160760.74)</f>
        <v>160760.74</v>
      </c>
      <c r="O566" s="169">
        <f t="shared" ca="1" si="122"/>
        <v>76.117774621212121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IFERROR(__xludf.DUMMYFUNCTION("IMPORTRANGE(""https://docs.google.com/spreadsheets/d/1XL5vhW3sbDhbH9Cz0tuDiY8C3ctxq1tqvaCgkFb8cCA/edit?usp=sharing"",""นครราชสีมา!M463"")"),160760.74)</f>
        <v>160760.74</v>
      </c>
      <c r="O568" s="169">
        <f t="shared" ca="1" si="122"/>
        <v>76.117774621212121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IFERROR(__xludf.DUMMYFUNCTION("IMPORTRANGE(""https://docs.google.com/spreadsheets/d/1XL5vhW3sbDhbH9Cz0tuDiY8C3ctxq1tqvaCgkFb8cCA/edit?usp=sharing"",""นครราชสีมา!M466"")"),63066.74)</f>
        <v>63066.74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IFERROR(__xludf.DUMMYFUNCTION("IMPORTRANGE(""https://docs.google.com/spreadsheets/d/1XL5vhW3sbDhbH9Cz0tuDiY8C3ctxq1tqvaCgkFb8cCA/edit?usp=sharing"",""นครราชสีมา!M467"")"),97694)</f>
        <v>97694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IFERROR(__xludf.DUMMYFUNCTION("IMPORTRANGE(""https://docs.google.com/spreadsheets/d/1XL5vhW3sbDhbH9Cz0tuDiY8C3ctxq1tqvaCgkFb8cCA/edit?usp=sharing"",""นครราชสีมา!J468"")"),15146)</f>
        <v>15146</v>
      </c>
      <c r="K573" s="202">
        <f ca="1">IF(I573&gt;0,J573*100/I573,0)</f>
        <v>168.28888888888889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IFERROR(__xludf.DUMMYFUNCTION("IMPORTRANGE(""https://docs.google.com/spreadsheets/d/1XL5vhW3sbDhbH9Cz0tuDiY8C3ctxq1tqvaCgkFb8cCA/edit?usp=sharing"",""นครราชสีมา!J471"")"),1308)</f>
        <v>1308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IFERROR(__xludf.DUMMYFUNCTION("IMPORTRANGE(""https://docs.google.com/spreadsheets/d/1XL5vhW3sbDhbH9Cz0tuDiY8C3ctxq1tqvaCgkFb8cCA/edit?usp=sharing"",""นครราชสีมา!J472"")"),13836)</f>
        <v>13836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IFERROR(__xludf.DUMMYFUNCTION("IMPORTRANGE(""https://docs.google.com/spreadsheets/d/1XL5vhW3sbDhbH9Cz0tuDiY8C3ctxq1tqvaCgkFb8cCA/edit?usp=sharing"",""นครราชสีมา!I475"")"),2000)</f>
        <v>2000</v>
      </c>
      <c r="J580" s="371">
        <f ca="1">IFERROR(__xludf.DUMMYFUNCTION("IMPORTRANGE(""https://docs.google.com/spreadsheets/d/1XL5vhW3sbDhbH9Cz0tuDiY8C3ctxq1tqvaCgkFb8cCA/edit?usp=sharing"",""นครราชสีมา!J475"")"),37)</f>
        <v>37</v>
      </c>
      <c r="K580" s="372">
        <f ca="1">IF(I580&gt;0,J580*100/I580,0)</f>
        <v>1.85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IFERROR(__xludf.DUMMYFUNCTION("IMPORTRANGE(""https://docs.google.com/spreadsheets/d/1XL5vhW3sbDhbH9Cz0tuDiY8C3ctxq1tqvaCgkFb8cCA/edit?usp=sharing"",""นครราชสีมา!M475"")"),702746.34)</f>
        <v>702746.34</v>
      </c>
      <c r="O580" s="373">
        <f t="shared" ref="O580:O584" ca="1" si="124">+IF(L580&gt;0,N580*100/L580,0)</f>
        <v>61.396674820898127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IFERROR(__xludf.DUMMYFUNCTION("IMPORTRANGE(""https://docs.google.com/spreadsheets/d/1XL5vhW3sbDhbH9Cz0tuDiY8C3ctxq1tqvaCgkFb8cCA/edit?usp=sharing"",""นครราชสีมา!M477"")"),702746.34)</f>
        <v>702746.34</v>
      </c>
      <c r="O582" s="169">
        <f t="shared" ca="1" si="124"/>
        <v>61.396674820898127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IFERROR(__xludf.DUMMYFUNCTION("IMPORTRANGE(""https://docs.google.com/spreadsheets/d/1XL5vhW3sbDhbH9Cz0tuDiY8C3ctxq1tqvaCgkFb8cCA/edit?usp=sharing"",""นครราชสีมา!M479"")"),702746.34)</f>
        <v>702746.34</v>
      </c>
      <c r="O584" s="169">
        <f t="shared" ca="1" si="124"/>
        <v>61.396674820898127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IFERROR(__xludf.DUMMYFUNCTION("IMPORTRANGE(""https://docs.google.com/spreadsheets/d/1XL5vhW3sbDhbH9Cz0tuDiY8C3ctxq1tqvaCgkFb8cCA/edit?usp=sharing"",""นครราชสีมา!M482"")"),191766.91)</f>
        <v>191766.91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IFERROR(__xludf.DUMMYFUNCTION("IMPORTRANGE(""https://docs.google.com/spreadsheets/d/1XL5vhW3sbDhbH9Cz0tuDiY8C3ctxq1tqvaCgkFb8cCA/edit?usp=sharing"",""นครราชสีมา!M483"")"),510979.43)</f>
        <v>510979.43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IFERROR(__xludf.DUMMYFUNCTION("IMPORTRANGE(""https://docs.google.com/spreadsheets/d/1XL5vhW3sbDhbH9Cz0tuDiY8C3ctxq1tqvaCgkFb8cCA/edit?usp=sharing"",""นครราชสีมา!I484"")"),2000)</f>
        <v>2000</v>
      </c>
      <c r="J589" s="188">
        <f ca="1">IFERROR(__xludf.DUMMYFUNCTION("IMPORTRANGE(""https://docs.google.com/spreadsheets/d/1XL5vhW3sbDhbH9Cz0tuDiY8C3ctxq1tqvaCgkFb8cCA/edit?usp=sharing"",""นครราชสีมา!J484"")"),1102)</f>
        <v>1102</v>
      </c>
      <c r="K589" s="163">
        <f t="shared" ref="K589:K596" ca="1" si="125">IF(I589&gt;0,J589*100/I589,0)</f>
        <v>55.1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IFERROR(__xludf.DUMMYFUNCTION("IMPORTRANGE(""https://docs.google.com/spreadsheets/d/1XL5vhW3sbDhbH9Cz0tuDiY8C3ctxq1tqvaCgkFb8cCA/edit?usp=sharing"",""นครราชสีมา!J485"")"),660.41)</f>
        <v>660.41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IFERROR(__xludf.DUMMYFUNCTION("IMPORTRANGE(""https://docs.google.com/spreadsheets/d/1XL5vhW3sbDhbH9Cz0tuDiY8C3ctxq1tqvaCgkFb8cCA/edit?usp=sharing"",""นครราชสีมา!I486"")"),2000)</f>
        <v>2000</v>
      </c>
      <c r="J591" s="188">
        <f ca="1">IFERROR(__xludf.DUMMYFUNCTION("IMPORTRANGE(""https://docs.google.com/spreadsheets/d/1XL5vhW3sbDhbH9Cz0tuDiY8C3ctxq1tqvaCgkFb8cCA/edit?usp=sharing"",""นครราชสีมา!J486"")"),710)</f>
        <v>710</v>
      </c>
      <c r="K591" s="163">
        <f t="shared" ca="1" si="125"/>
        <v>35.5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IFERROR(__xludf.DUMMYFUNCTION("IMPORTRANGE(""https://docs.google.com/spreadsheets/d/1XL5vhW3sbDhbH9Cz0tuDiY8C3ctxq1tqvaCgkFb8cCA/edit?usp=sharing"",""นครราชสีมา!J487"")"),435.62)</f>
        <v>435.62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IFERROR(__xludf.DUMMYFUNCTION("IMPORTRANGE(""https://docs.google.com/spreadsheets/d/1XL5vhW3sbDhbH9Cz0tuDiY8C3ctxq1tqvaCgkFb8cCA/edit?usp=sharing"",""นครราชสีมา!I488"")"),2000)</f>
        <v>2000</v>
      </c>
      <c r="J593" s="188">
        <f ca="1">IFERROR(__xludf.DUMMYFUNCTION("IMPORTRANGE(""https://docs.google.com/spreadsheets/d/1XL5vhW3sbDhbH9Cz0tuDiY8C3ctxq1tqvaCgkFb8cCA/edit?usp=sharing"",""นครราชสีมา!J488"")"),0)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IFERROR(__xludf.DUMMYFUNCTION("IMPORTRANGE(""https://docs.google.com/spreadsheets/d/1XL5vhW3sbDhbH9Cz0tuDiY8C3ctxq1tqvaCgkFb8cCA/edit?usp=sharing"",""นครราชสีมา!I490"")"),2000)</f>
        <v>2000</v>
      </c>
      <c r="J595" s="188">
        <f ca="1">IFERROR(__xludf.DUMMYFUNCTION("IMPORTRANGE(""https://docs.google.com/spreadsheets/d/1XL5vhW3sbDhbH9Cz0tuDiY8C3ctxq1tqvaCgkFb8cCA/edit?usp=sharing"",""นครราชสีมา!J490"")"),37)</f>
        <v>37</v>
      </c>
      <c r="K595" s="163">
        <f t="shared" ca="1" si="125"/>
        <v>1.85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IFERROR(__xludf.DUMMYFUNCTION("IMPORTRANGE(""https://docs.google.com/spreadsheets/d/1XL5vhW3sbDhbH9Cz0tuDiY8C3ctxq1tqvaCgkFb8cCA/edit?usp=sharing"",""นครราชสีมา!I491"")"),0)</f>
        <v>0</v>
      </c>
      <c r="J596" s="241">
        <f ca="1">IFERROR(__xludf.DUMMYFUNCTION("IMPORTRANGE(""https://docs.google.com/spreadsheets/d/1XL5vhW3sbDhbH9Cz0tuDiY8C3ctxq1tqvaCgkFb8cCA/edit?usp=sharing"",""นครราชสีมา!J491"")"),26.11)</f>
        <v>26.11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7">
        <f ca="1">IFERROR(__xludf.DUMMYFUNCTION("IMPORTRANGE(""https://docs.google.com/spreadsheets/d/1XL5vhW3sbDhbH9Cz0tuDiY8C3ctxq1tqvaCgkFb8cCA/edit?usp=sharing"",""นครราชสีมา!J492"")"),0)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IFERROR(__xludf.DUMMYFUNCTION("IMPORTRANGE(""https://docs.google.com/spreadsheets/d/1XL5vhW3sbDhbH9Cz0tuDiY8C3ctxq1tqvaCgkFb8cCA/edit?usp=sharing"",""นครราชสีมา!L492"")"),30900)</f>
        <v>30900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11.003236245954692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IFERROR(__xludf.DUMMYFUNCTION("IMPORTRANGE(""https://docs.google.com/spreadsheets/d/1XL5vhW3sbDhbH9Cz0tuDiY8C3ctxq1tqvaCgkFb8cCA/edit?usp=sharing"",""นครราชสีมา!L494"")"),30900)</f>
        <v>30900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IFERROR(__xludf.DUMMYFUNCTION("IMPORTRANGE(""https://docs.google.com/spreadsheets/d/1XL5vhW3sbDhbH9Cz0tuDiY8C3ctxq1tqvaCgkFb8cCA/edit?usp=sharing"",""นครราชสีมา!M494"")"),3400)</f>
        <v>3400</v>
      </c>
      <c r="O599" s="169">
        <f t="shared" ca="1" si="126"/>
        <v>11.003236245954692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IFERROR(__xludf.DUMMYFUNCTION("IMPORTRANGE(""https://docs.google.com/spreadsheets/d/1XL5vhW3sbDhbH9Cz0tuDiY8C3ctxq1tqvaCgkFb8cCA/edit?usp=sharing"",""นครราชสีมา!L496"")"),30900)</f>
        <v>30900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IFERROR(__xludf.DUMMYFUNCTION("IMPORTRANGE(""https://docs.google.com/spreadsheets/d/1XL5vhW3sbDhbH9Cz0tuDiY8C3ctxq1tqvaCgkFb8cCA/edit?usp=sharing"",""นครราชสีมา!M496"")"),3400)</f>
        <v>3400</v>
      </c>
      <c r="O601" s="169">
        <f t="shared" ca="1" si="126"/>
        <v>11.003236245954692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4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4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IFERROR(__xludf.DUMMYFUNCTION("IMPORTRANGE(""https://docs.google.com/spreadsheets/d/1XL5vhW3sbDhbH9Cz0tuDiY8C3ctxq1tqvaCgkFb8cCA/edit?usp=sharing"",""นครราชสีมา!J510"")"),323)</f>
        <v>323</v>
      </c>
      <c r="K615" s="163">
        <f t="shared" ca="1" si="127"/>
        <v>64.599999999999994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1">
        <f ca="1">IFERROR(__xludf.DUMMYFUNCTION("IMPORTRANGE(""https://docs.google.com/spreadsheets/d/1XL5vhW3sbDhbH9Cz0tuDiY8C3ctxq1tqvaCgkFb8cCA/edit?usp=sharing"",""นครราชสีมา!J523"")"),6991000)</f>
        <v>6991000</v>
      </c>
      <c r="K628" s="342">
        <f t="shared" ref="K628:K635" ca="1" si="129">IF(I628&gt;0,J628*100/I628,0)</f>
        <v>46.606666666666669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IFERROR(__xludf.DUMMYFUNCTION("IMPORTRANGE(""https://docs.google.com/spreadsheets/d/1XL5vhW3sbDhbH9Cz0tuDiY8C3ctxq1tqvaCgkFb8cCA/edit?usp=sharing"",""นครราชสีมา!I524"")"),393)</f>
        <v>393</v>
      </c>
      <c r="J629" s="341">
        <f ca="1">IFERROR(__xludf.DUMMYFUNCTION("IMPORTRANGE(""https://docs.google.com/spreadsheets/d/1XL5vhW3sbDhbH9Cz0tuDiY8C3ctxq1tqvaCgkFb8cCA/edit?usp=sharing"",""นครราชสีมา!J524"")"),181)</f>
        <v>181</v>
      </c>
      <c r="K629" s="342">
        <f t="shared" ca="1" si="129"/>
        <v>46.055979643765902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1">
        <f ca="1">IFERROR(__xludf.DUMMYFUNCTION("IMPORTRANGE(""https://docs.google.com/spreadsheets/d/1XL5vhW3sbDhbH9Cz0tuDiY8C3ctxq1tqvaCgkFb8cCA/edit?usp=sharing"",""นครราชสีมา!J525"")"),944651.38)</f>
        <v>944651.38</v>
      </c>
      <c r="K630" s="342">
        <f t="shared" ca="1" si="129"/>
        <v>11.198074549934702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IFERROR(__xludf.DUMMYFUNCTION("IMPORTRANGE(""https://docs.google.com/spreadsheets/d/1XL5vhW3sbDhbH9Cz0tuDiY8C3ctxq1tqvaCgkFb8cCA/edit?usp=sharing"",""นครราชสีมา!I526"")"),267)</f>
        <v>267</v>
      </c>
      <c r="J631" s="341">
        <f ca="1">IFERROR(__xludf.DUMMYFUNCTION("IMPORTRANGE(""https://docs.google.com/spreadsheets/d/1XL5vhW3sbDhbH9Cz0tuDiY8C3ctxq1tqvaCgkFb8cCA/edit?usp=sharing"",""นครราชสีมา!J526"")"),118)</f>
        <v>118</v>
      </c>
      <c r="K631" s="342">
        <f t="shared" ca="1" si="129"/>
        <v>44.194756554307119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1">
        <f ca="1">IFERROR(__xludf.DUMMYFUNCTION("IMPORTRANGE(""https://docs.google.com/spreadsheets/d/1XL5vhW3sbDhbH9Cz0tuDiY8C3ctxq1tqvaCgkFb8cCA/edit?usp=sharing"",""นครราชสีมา!J527"")"),286422.29)</f>
        <v>286422.28999999998</v>
      </c>
      <c r="K632" s="342">
        <f t="shared" ca="1" si="129"/>
        <v>1441.6377925330582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IFERROR(__xludf.DUMMYFUNCTION("IMPORTRANGE(""https://docs.google.com/spreadsheets/d/1XL5vhW3sbDhbH9Cz0tuDiY8C3ctxq1tqvaCgkFb8cCA/edit?usp=sharing"",""นครราชสีมา!I528"")"),105)</f>
        <v>105</v>
      </c>
      <c r="J633" s="341">
        <f ca="1">IFERROR(__xludf.DUMMYFUNCTION("IMPORTRANGE(""https://docs.google.com/spreadsheets/d/1XL5vhW3sbDhbH9Cz0tuDiY8C3ctxq1tqvaCgkFb8cCA/edit?usp=sharing"",""นครราชสีมา!J528"")"),26)</f>
        <v>26</v>
      </c>
      <c r="K633" s="342">
        <f t="shared" ca="1" si="129"/>
        <v>24.761904761904763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IFERROR(__xludf.DUMMYFUNCTION("IMPORTRANGE(""https://docs.google.com/spreadsheets/d/1XL5vhW3sbDhbH9Cz0tuDiY8C3ctxq1tqvaCgkFb8cCA/edit?usp=sharing"",""นครราชสีมา!I529"")"),5000000)</f>
        <v>5000000</v>
      </c>
      <c r="J634" s="341">
        <f ca="1">IFERROR(__xludf.DUMMYFUNCTION("IMPORTRANGE(""https://docs.google.com/spreadsheets/d/1XL5vhW3sbDhbH9Cz0tuDiY8C3ctxq1tqvaCgkFb8cCA/edit?usp=sharing"",""นครราชสีมา!J529"")"),2044000)</f>
        <v>2044000</v>
      </c>
      <c r="K634" s="342">
        <f t="shared" ca="1" si="129"/>
        <v>40.880000000000003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IFERROR(__xludf.DUMMYFUNCTION("IMPORTRANGE(""https://docs.google.com/spreadsheets/d/1XL5vhW3sbDhbH9Cz0tuDiY8C3ctxq1tqvaCgkFb8cCA/edit?usp=sharing"",""นครราชสีมา!I530"")"),125)</f>
        <v>125</v>
      </c>
      <c r="J635" s="504">
        <f ca="1">IFERROR(__xludf.DUMMYFUNCTION("IMPORTRANGE(""https://docs.google.com/spreadsheets/d/1XL5vhW3sbDhbH9Cz0tuDiY8C3ctxq1tqvaCgkFb8cCA/edit?usp=sharing"",""นครราชสีมา!J530"")"),53)</f>
        <v>53</v>
      </c>
      <c r="K635" s="486">
        <f t="shared" ca="1" si="129"/>
        <v>42.4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1560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1560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1560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IFERROR(__xludf.DUMMYFUNCTION("IMPORTRANGE(""https://docs.google.com/spreadsheets/d/1XL5vhW3sbDhbH9Cz0tuDiY8C3ctxq1tqvaCgkFb8cCA/edit#gid=346597447"",""นครราชสีมา!J541"")"),0)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IFERROR(__xludf.DUMMYFUNCTION("IMPORTRANGE(""https://docs.google.com/spreadsheets/d/1XL5vhW3sbDhbH9Cz0tuDiY8C3ctxq1tqvaCgkFb8cCA/edit#gid=346597447"",""นครราชสีมา!J542"")"),0)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IFERROR(__xludf.DUMMYFUNCTION("IMPORTRANGE(""https://docs.google.com/spreadsheets/d/1XL5vhW3sbDhbH9Cz0tuDiY8C3ctxq1tqvaCgkFb8cCA/edit#gid=346597447"",""นครราชสีมา!I543"")"),0)</f>
        <v>0</v>
      </c>
      <c r="J648" s="585">
        <f ca="1">IFERROR(__xludf.DUMMYFUNCTION("IMPORTRANGE(""https://docs.google.com/spreadsheets/d/1XL5vhW3sbDhbH9Cz0tuDiY8C3ctxq1tqvaCgkFb8cCA/edit#gid=346597447"",""นครราชสีมา!J543"")"),0)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IFERROR(__xludf.DUMMYFUNCTION("IMPORTRANGE(""https://docs.google.com/spreadsheets/d/1XL5vhW3sbDhbH9Cz0tuDiY8C3ctxq1tqvaCgkFb8cCA/edit#gid=346597447"",""นครราชสีมา!L543"")"),0)</f>
        <v>0</v>
      </c>
      <c r="M648" s="570"/>
      <c r="N648" s="587">
        <f ca="1">IFERROR(__xludf.DUMMYFUNCTION("IMPORTRANGE(""https://docs.google.com/spreadsheets/d/1XL5vhW3sbDhbH9Cz0tuDiY8C3ctxq1tqvaCgkFb8cCA/edit#gid=346597447"",""นครราชสีมา!M543"")"),0)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IFERROR(__xludf.DUMMYFUNCTION("IMPORTRANGE(""https://docs.google.com/spreadsheets/d/1XL5vhW3sbDhbH9Cz0tuDiY8C3ctxq1tqvaCgkFb8cCA/edit#gid=346597447"",""นครราชสีมา!I544"")"),4)</f>
        <v>4</v>
      </c>
      <c r="J649" s="585">
        <f ca="1">IFERROR(__xludf.DUMMYFUNCTION("IMPORTRANGE(""https://docs.google.com/spreadsheets/d/1XL5vhW3sbDhbH9Cz0tuDiY8C3ctxq1tqvaCgkFb8cCA/edit#gid=346597447"",""นครราชสีมา!J544"")"),0)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IFERROR(__xludf.DUMMYFUNCTION("IMPORTRANGE(""https://docs.google.com/spreadsheets/d/1XL5vhW3sbDhbH9Cz0tuDiY8C3ctxq1tqvaCgkFb8cCA/edit#gid=346597447"",""นครราชสีมา!L544"")"),480)</f>
        <v>480</v>
      </c>
      <c r="M649" s="570"/>
      <c r="N649" s="587">
        <f ca="1">IFERROR(__xludf.DUMMYFUNCTION("IMPORTRANGE(""https://docs.google.com/spreadsheets/d/1XL5vhW3sbDhbH9Cz0tuDiY8C3ctxq1tqvaCgkFb8cCA/edit#gid=346597447"",""นครราชสีมา!M544"")"),0)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IFERROR(__xludf.DUMMYFUNCTION("IMPORTRANGE(""https://docs.google.com/spreadsheets/d/1XL5vhW3sbDhbH9Cz0tuDiY8C3ctxq1tqvaCgkFb8cCA/edit#gid=346597447"",""นครราชสีมา!I545"")"),0)</f>
        <v>0</v>
      </c>
      <c r="J650" s="585">
        <f ca="1">IFERROR(__xludf.DUMMYFUNCTION("IMPORTRANGE(""https://docs.google.com/spreadsheets/d/1XL5vhW3sbDhbH9Cz0tuDiY8C3ctxq1tqvaCgkFb8cCA/edit#gid=346597447"",""นครราชสีมา!J545"")"),0)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IFERROR(__xludf.DUMMYFUNCTION("IMPORTRANGE(""https://docs.google.com/spreadsheets/d/1XL5vhW3sbDhbH9Cz0tuDiY8C3ctxq1tqvaCgkFb8cCA/edit#gid=346597447"",""นครราชสีมา!L545"")"),0)</f>
        <v>0</v>
      </c>
      <c r="M650" s="570"/>
      <c r="N650" s="587">
        <f ca="1">IFERROR(__xludf.DUMMYFUNCTION("IMPORTRANGE(""https://docs.google.com/spreadsheets/d/1XL5vhW3sbDhbH9Cz0tuDiY8C3ctxq1tqvaCgkFb8cCA/edit#gid=346597447"",""นครราชสีมา!M545"")"),0)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IFERROR(__xludf.DUMMYFUNCTION("IMPORTRANGE(""https://docs.google.com/spreadsheets/d/1XL5vhW3sbDhbH9Cz0tuDiY8C3ctxq1tqvaCgkFb8cCA/edit#gid=346597447"",""นครราชสีมา!I546"")"),0)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IFERROR(__xludf.DUMMYFUNCTION("IMPORTRANGE(""https://docs.google.com/spreadsheets/d/1XL5vhW3sbDhbH9Cz0tuDiY8C3ctxq1tqvaCgkFb8cCA/edit#gid=346597447"",""นครราชสีมา!L546"")"),0)</f>
        <v>0</v>
      </c>
      <c r="M651" s="570"/>
      <c r="N651" s="587">
        <f ca="1">IFERROR(__xludf.DUMMYFUNCTION("IMPORTRANGE(""https://docs.google.com/spreadsheets/d/1XL5vhW3sbDhbH9Cz0tuDiY8C3ctxq1tqvaCgkFb8cCA/edit#gid=346597447"",""นครราชสีมา!M546"")"),0)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IFERROR(__xludf.DUMMYFUNCTION("IMPORTRANGE(""https://docs.google.com/spreadsheets/d/1XL5vhW3sbDhbH9Cz0tuDiY8C3ctxq1tqvaCgkFb8cCA/edit#gid=346597447"",""นครราชสีมา!J547"")"),0)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IFERROR(__xludf.DUMMYFUNCTION("IMPORTRANGE(""https://docs.google.com/spreadsheets/d/1XL5vhW3sbDhbH9Cz0tuDiY8C3ctxq1tqvaCgkFb8cCA/edit#gid=346597447"",""นครราชสีมา!J548"")"),0)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IFERROR(__xludf.DUMMYFUNCTION("IMPORTRANGE(""https://docs.google.com/spreadsheets/d/1XL5vhW3sbDhbH9Cz0tuDiY8C3ctxq1tqvaCgkFb8cCA/edit#gid=346597447"",""นครราชสีมา!J550"")"),0)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IFERROR(__xludf.DUMMYFUNCTION("IMPORTRANGE(""https://docs.google.com/spreadsheets/d/1XL5vhW3sbDhbH9Cz0tuDiY8C3ctxq1tqvaCgkFb8cCA/edit#gid=346597447"",""นครราชสีมา!J551"")"),0)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IFERROR(__xludf.DUMMYFUNCTION("IMPORTRANGE(""https://docs.google.com/spreadsheets/d/1XL5vhW3sbDhbH9Cz0tuDiY8C3ctxq1tqvaCgkFb8cCA/edit#gid=346597447"",""นครราชสีมา!J552"")"),0)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IFERROR(__xludf.DUMMYFUNCTION("IMPORTRANGE(""https://docs.google.com/spreadsheets/d/1XL5vhW3sbDhbH9Cz0tuDiY8C3ctxq1tqvaCgkFb8cCA/edit#gid=346597447"",""นครราชสีมา!J553"")"),0)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IFERROR(__xludf.DUMMYFUNCTION("IMPORTRANGE(""https://docs.google.com/spreadsheets/d/1XL5vhW3sbDhbH9Cz0tuDiY8C3ctxq1tqvaCgkFb8cCA/edit#gid=346597447"",""นครราชสีมา!J554"")"),0)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IFERROR(__xludf.DUMMYFUNCTION("IMPORTRANGE(""https://docs.google.com/spreadsheets/d/1XL5vhW3sbDhbH9Cz0tuDiY8C3ctxq1tqvaCgkFb8cCA/edit#gid=346597447"",""นครราชสีมา!J555"")"),0)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IFERROR(__xludf.DUMMYFUNCTION("IMPORTRANGE(""https://docs.google.com/spreadsheets/d/1XL5vhW3sbDhbH9Cz0tuDiY8C3ctxq1tqvaCgkFb8cCA/edit#gid=346597447"",""นครราชสีมา!J556"")"),0)</f>
        <v>0</v>
      </c>
      <c r="K661" s="586"/>
      <c r="L661" s="571">
        <f ca="1">IFERROR(__xludf.DUMMYFUNCTION("IMPORTRANGE(""https://docs.google.com/spreadsheets/d/1XL5vhW3sbDhbH9Cz0tuDiY8C3ctxq1tqvaCgkFb8cCA/edit#gid=346597447"",""นครราชสีมา!L556"")"),0)</f>
        <v>0</v>
      </c>
      <c r="M661" s="570"/>
      <c r="N661" s="587">
        <f ca="1">IFERROR(__xludf.DUMMYFUNCTION("IMPORTRANGE(""https://docs.google.com/spreadsheets/d/1XL5vhW3sbDhbH9Cz0tuDiY8C3ctxq1tqvaCgkFb8cCA/edit#gid=346597447"",""นครราชสีมา!M556"")"),0)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IFERROR(__xludf.DUMMYFUNCTION("IMPORTRANGE(""https://docs.google.com/spreadsheets/d/1XL5vhW3sbDhbH9Cz0tuDiY8C3ctxq1tqvaCgkFb8cCA/edit#gid=346597447"",""นครราชสีมา!J557"")"),0)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IFERROR(__xludf.DUMMYFUNCTION("IMPORTRANGE(""https://docs.google.com/spreadsheets/d/1XL5vhW3sbDhbH9Cz0tuDiY8C3ctxq1tqvaCgkFb8cCA/edit#gid=346597447"",""นครราชสีมา!I558"")"),0)</f>
        <v>0</v>
      </c>
      <c r="J663" s="585">
        <f ca="1">IFERROR(__xludf.DUMMYFUNCTION("IMPORTRANGE(""https://docs.google.com/spreadsheets/d/1XL5vhW3sbDhbH9Cz0tuDiY8C3ctxq1tqvaCgkFb8cCA/edit#gid=346597447"",""นครราชสีมา!J558"")"),0)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IFERROR(__xludf.DUMMYFUNCTION("IMPORTRANGE(""https://docs.google.com/spreadsheets/d/1XL5vhW3sbDhbH9Cz0tuDiY8C3ctxq1tqvaCgkFb8cCA/edit#gid=346597447"",""นครราชสีมา!I560"")"),9)</f>
        <v>9</v>
      </c>
      <c r="J665" s="585">
        <f ca="1">IFERROR(__xludf.DUMMYFUNCTION("IMPORTRANGE(""https://docs.google.com/spreadsheets/d/1XL5vhW3sbDhbH9Cz0tuDiY8C3ctxq1tqvaCgkFb8cCA/edit#gid=346597447"",""นครราชสีมา!J560"")"),0)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IFERROR(__xludf.DUMMYFUNCTION("IMPORTRANGE(""https://docs.google.com/spreadsheets/d/1XL5vhW3sbDhbH9Cz0tuDiY8C3ctxq1tqvaCgkFb8cCA/edit#gid=346597447"",""นครราชสีมา!L560"")"),1080)</f>
        <v>1080</v>
      </c>
      <c r="M665" s="570"/>
      <c r="N665" s="587">
        <f ca="1">IFERROR(__xludf.DUMMYFUNCTION("IMPORTRANGE(""https://docs.google.com/spreadsheets/d/1XL5vhW3sbDhbH9Cz0tuDiY8C3ctxq1tqvaCgkFb8cCA/edit#gid=346597447"",""นครราชสีมา!M560"")"),0)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IFERROR(__xludf.DUMMYFUNCTION("IMPORTRANGE(""https://docs.google.com/spreadsheets/d/1XL5vhW3sbDhbH9Cz0tuDiY8C3ctxq1tqvaCgkFb8cCA/edit#gid=346597447"",""นครราชสีมา!J561"")"),0)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IFERROR(__xludf.DUMMYFUNCTION("IMPORTRANGE(""https://docs.google.com/spreadsheets/d/1XL5vhW3sbDhbH9Cz0tuDiY8C3ctxq1tqvaCgkFb8cCA/edit#gid=346597447"",""นครราชสีมา!J562"")"),0)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IFERROR(__xludf.DUMMYFUNCTION("IMPORTRANGE(""https://docs.google.com/spreadsheets/d/1XL5vhW3sbDhbH9Cz0tuDiY8C3ctxq1tqvaCgkFb8cCA/edit#gid=346597447"",""นครราชสีมา!I563"")"),0)</f>
        <v>0</v>
      </c>
      <c r="J668" s="585">
        <f ca="1">IFERROR(__xludf.DUMMYFUNCTION("IMPORTRANGE(""https://docs.google.com/spreadsheets/d/1XL5vhW3sbDhbH9Cz0tuDiY8C3ctxq1tqvaCgkFb8cCA/edit#gid=346597447"",""นครราชสีมา!J563"")"),0)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IFERROR(__xludf.DUMMYFUNCTION("IMPORTRANGE(""https://docs.google.com/spreadsheets/d/1XL5vhW3sbDhbH9Cz0tuDiY8C3ctxq1tqvaCgkFb8cCA/edit#gid=346597447"",""นครราชสีมา!L563"")"),0)</f>
        <v>0</v>
      </c>
      <c r="M668" s="570"/>
      <c r="N668" s="587">
        <f ca="1">IFERROR(__xludf.DUMMYFUNCTION("IMPORTRANGE(""https://docs.google.com/spreadsheets/d/1XL5vhW3sbDhbH9Cz0tuDiY8C3ctxq1tqvaCgkFb8cCA/edit#gid=346597447"",""นครราชสีมา!M563"")"),0)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IFERROR(__xludf.DUMMYFUNCTION("IMPORTRANGE(""https://docs.google.com/spreadsheets/d/1XL5vhW3sbDhbH9Cz0tuDiY8C3ctxq1tqvaCgkFb8cCA/edit#gid=346597447"",""นครราชสีมา!J564"")"),0)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IFERROR(__xludf.DUMMYFUNCTION("IMPORTRANGE(""https://docs.google.com/spreadsheets/d/1XL5vhW3sbDhbH9Cz0tuDiY8C3ctxq1tqvaCgkFb8cCA/edit#gid=346597447"",""นครราชสีมา!J565"")"),0)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IFERROR(__xludf.DUMMYFUNCTION("IMPORTRANGE(""https://docs.google.com/spreadsheets/d/1XL5vhW3sbDhbH9Cz0tuDiY8C3ctxq1tqvaCgkFb8cCA/edit#gid=346597447"",""นครราชสีมา!I566"")"),0)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IFERROR(__xludf.DUMMYFUNCTION("IMPORTRANGE(""https://docs.google.com/spreadsheets/d/1XL5vhW3sbDhbH9Cz0tuDiY8C3ctxq1tqvaCgkFb8cCA/edit#gid=346597447"",""นครราชสีมา!L566"")"),0)</f>
        <v>0</v>
      </c>
      <c r="M671" s="570"/>
      <c r="N671" s="587">
        <f ca="1">IFERROR(__xludf.DUMMYFUNCTION("IMPORTRANGE(""https://docs.google.com/spreadsheets/d/1XL5vhW3sbDhbH9Cz0tuDiY8C3ctxq1tqvaCgkFb8cCA/edit#gid=346597447"",""นครราชสีมา!M566"")"),0)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IFERROR(__xludf.DUMMYFUNCTION("IMPORTRANGE(""https://docs.google.com/spreadsheets/d/1XL5vhW3sbDhbH9Cz0tuDiY8C3ctxq1tqvaCgkFb8cCA/edit#gid=346597447"",""นครราชสีมา!J567"")"),0)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IFERROR(__xludf.DUMMYFUNCTION("IMPORTRANGE(""https://docs.google.com/spreadsheets/d/1XL5vhW3sbDhbH9Cz0tuDiY8C3ctxq1tqvaCgkFb8cCA/edit#gid=346597447"",""นครราชสีมา!J568"")"),0)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IFERROR(__xludf.DUMMYFUNCTION("IMPORTRANGE(""https://docs.google.com/spreadsheets/d/1XL5vhW3sbDhbH9Cz0tuDiY8C3ctxq1tqvaCgkFb8cCA/edit#gid=346597447"",""นครราชสีมา!J569"")"),0)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IFERROR(__xludf.DUMMYFUNCTION("IMPORTRANGE(""https://docs.google.com/spreadsheets/d/1XL5vhW3sbDhbH9Cz0tuDiY8C3ctxq1tqvaCgkFb8cCA/edit#gid=346597447"",""นครราชสีมา!J570"")"),0)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IFERROR(__xludf.DUMMYFUNCTION("IMPORTRANGE(""https://docs.google.com/spreadsheets/d/1XL5vhW3sbDhbH9Cz0tuDiY8C3ctxq1tqvaCgkFb8cCA/edit#gid=346597447"",""นครราชสีมา!J571"")"),0)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IFERROR(__xludf.DUMMYFUNCTION("IMPORTRANGE(""https://docs.google.com/spreadsheets/d/1XL5vhW3sbDhbH9Cz0tuDiY8C3ctxq1tqvaCgkFb8cCA/edit#gid=346597447"",""นครราชสีมา!J572"")"),0)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3" sqref="G1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" customWidth="1"/>
    <col min="8" max="8" width="10.85546875" customWidth="1"/>
    <col min="9" max="10" width="14.85546875" bestFit="1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270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7597554</v>
      </c>
      <c r="M8" s="23">
        <f t="shared" ca="1" si="0"/>
        <v>4103400</v>
      </c>
      <c r="N8" s="23">
        <f t="shared" ca="1" si="0"/>
        <v>4291155.68</v>
      </c>
      <c r="O8" s="22">
        <f t="shared" ref="O8:O16" ca="1" si="1">IF(L8&gt;0,N8*100/L8,0)</f>
        <v>56.480752621172549</v>
      </c>
      <c r="P8" s="22">
        <f t="shared" ref="P8:P16" ca="1" si="2">IF(M8&gt;0,N8*100/M8,0)</f>
        <v>104.57561241896964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7597554</v>
      </c>
      <c r="M10" s="30">
        <f t="shared" ca="1" si="4"/>
        <v>4103400</v>
      </c>
      <c r="N10" s="30">
        <f t="shared" ca="1" si="4"/>
        <v>4291155.68</v>
      </c>
      <c r="O10" s="29">
        <f t="shared" ca="1" si="1"/>
        <v>56.480752621172549</v>
      </c>
      <c r="P10" s="29">
        <f t="shared" ca="1" si="2"/>
        <v>104.57561241896964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6434055</v>
      </c>
      <c r="M12" s="38">
        <f t="shared" ca="1" si="6"/>
        <v>2939901</v>
      </c>
      <c r="N12" s="38">
        <f t="shared" ca="1" si="6"/>
        <v>3127656.6799999997</v>
      </c>
      <c r="O12" s="38">
        <f t="shared" ca="1" si="1"/>
        <v>48.610972085255725</v>
      </c>
      <c r="P12" s="38">
        <f t="shared" ca="1" si="2"/>
        <v>106.38646267340295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2301400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4132655</v>
      </c>
      <c r="M14" s="38">
        <f t="shared" si="8"/>
        <v>0</v>
      </c>
      <c r="N14" s="38">
        <f t="shared" ca="1" si="8"/>
        <v>1061802</v>
      </c>
      <c r="O14" s="38">
        <f t="shared" ca="1" si="1"/>
        <v>25.692974613172403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1163499</v>
      </c>
      <c r="M16" s="38">
        <f t="shared" ca="1" si="10"/>
        <v>1163499</v>
      </c>
      <c r="N16" s="38">
        <f t="shared" ca="1" si="10"/>
        <v>1163499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4827709</v>
      </c>
      <c r="M18" s="23">
        <f t="shared" ca="1" si="11"/>
        <v>4103400</v>
      </c>
      <c r="N18" s="23">
        <f t="shared" ca="1" si="11"/>
        <v>3229353.6799999997</v>
      </c>
      <c r="O18" s="22">
        <f t="shared" ref="O18:O20" ca="1" si="12">IF(L18&gt;0,N18*100/L18,0)</f>
        <v>66.892053352842936</v>
      </c>
      <c r="P18" s="22">
        <f t="shared" ref="P18:P26" ca="1" si="13">IF(M18&gt;0,N18*100/M18,0)</f>
        <v>78.699460934834534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4827709</v>
      </c>
      <c r="M20" s="30">
        <f t="shared" ca="1" si="15"/>
        <v>4103400</v>
      </c>
      <c r="N20" s="30">
        <f t="shared" ca="1" si="15"/>
        <v>3229353.6799999997</v>
      </c>
      <c r="O20" s="29">
        <f t="shared" ca="1" si="12"/>
        <v>66.892053352842936</v>
      </c>
      <c r="P20" s="29">
        <f t="shared" ca="1" si="13"/>
        <v>78.699460934834534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3664210</v>
      </c>
      <c r="M22" s="41">
        <f t="shared" ca="1" si="18"/>
        <v>2939901</v>
      </c>
      <c r="N22" s="38">
        <f t="shared" ca="1" si="18"/>
        <v>2065854.6799999997</v>
      </c>
      <c r="O22" s="38">
        <f t="shared" ca="1" si="17"/>
        <v>56.379265380532225</v>
      </c>
      <c r="P22" s="38">
        <f t="shared" ca="1" si="13"/>
        <v>70.269532205336162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2301400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1362810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1163499</v>
      </c>
      <c r="M26" s="49">
        <f t="shared" ca="1" si="22"/>
        <v>1163499</v>
      </c>
      <c r="N26" s="49">
        <f t="shared" ca="1" si="22"/>
        <v>1163499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2769845</v>
      </c>
      <c r="M28" s="23">
        <f t="shared" si="23"/>
        <v>0</v>
      </c>
      <c r="N28" s="23">
        <f t="shared" ca="1" si="23"/>
        <v>1061802</v>
      </c>
      <c r="O28" s="22">
        <f t="shared" ref="O28:O30" ca="1" si="24">IF(L28&gt;0,N28*100/L28,0)</f>
        <v>38.33434722881605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2769845</v>
      </c>
      <c r="M30" s="30">
        <f t="shared" si="27"/>
        <v>0</v>
      </c>
      <c r="N30" s="30">
        <f t="shared" ca="1" si="27"/>
        <v>1061802</v>
      </c>
      <c r="O30" s="29">
        <f t="shared" ca="1" si="24"/>
        <v>38.33434722881605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2769845</v>
      </c>
      <c r="M32" s="38">
        <f t="shared" si="30"/>
        <v>0</v>
      </c>
      <c r="N32" s="38">
        <f t="shared" ca="1" si="30"/>
        <v>1061802</v>
      </c>
      <c r="O32" s="38">
        <f t="shared" ca="1" si="29"/>
        <v>38.33434722881605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2769845</v>
      </c>
      <c r="M34" s="38">
        <f t="shared" si="32"/>
        <v>0</v>
      </c>
      <c r="N34" s="38">
        <f t="shared" ca="1" si="32"/>
        <v>1061802</v>
      </c>
      <c r="O34" s="38">
        <f t="shared" ca="1" si="29"/>
        <v>38.33434722881605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4827709</v>
      </c>
      <c r="M37" s="54">
        <f t="shared" ca="1" si="33"/>
        <v>4103400</v>
      </c>
      <c r="N37" s="54">
        <f t="shared" ca="1" si="33"/>
        <v>3229353.6799999997</v>
      </c>
      <c r="O37" s="55">
        <f t="shared" ca="1" si="29"/>
        <v>66.892053352842936</v>
      </c>
      <c r="P37" s="55">
        <f t="shared" ca="1" si="25"/>
        <v>78.699460934834534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2008099</v>
      </c>
      <c r="M41" s="78">
        <f t="shared" ca="1" si="34"/>
        <v>1739999</v>
      </c>
      <c r="N41" s="78">
        <f t="shared" ca="1" si="34"/>
        <v>1474230.8599999999</v>
      </c>
      <c r="O41" s="77">
        <f t="shared" ref="O41:O43" ca="1" si="35">IF(L41&gt;0,N41*100/L41,0)</f>
        <v>73.414251986580339</v>
      </c>
      <c r="P41" s="77">
        <f t="shared" ref="P41:P43" ca="1" si="36">IF(M41&gt;0,N41*100/M41,0)</f>
        <v>84.725960187333442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2008099</v>
      </c>
      <c r="M43" s="78">
        <f t="shared" ca="1" si="38"/>
        <v>1739999</v>
      </c>
      <c r="N43" s="78">
        <f t="shared" ca="1" si="38"/>
        <v>1474230.8599999999</v>
      </c>
      <c r="O43" s="77">
        <f t="shared" ca="1" si="35"/>
        <v>73.414251986580339</v>
      </c>
      <c r="P43" s="77">
        <f t="shared" ca="1" si="36"/>
        <v>84.725960187333442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622">
        <f ca="1">IFERROR(__xludf.DUMMYFUNCTION("IMPORTRANGE(""https://docs.google.com/spreadsheets/d/1Yj_ptqi66GCucihVvJfMjLAmec39IyEx_6qawtMGysU/edit?usp=sharing"",""สบก!Q43"")"),761000)</f>
        <v>761000</v>
      </c>
      <c r="N45" s="622">
        <f ca="1">IFERROR(__xludf.DUMMYFUNCTION("IMPORTRANGE(""https://docs.google.com/spreadsheets/d/1Yj_ptqi66GCucihVvJfMjLAmec39IyEx_6qawtMGysU/edit?usp=sharing"",""สบก!R43"")"),495231.86)</f>
        <v>495231.86</v>
      </c>
      <c r="O45" s="623">
        <f ca="1">IF(L45&gt;0,N45*100/L45,0)</f>
        <v>48.122812165970267</v>
      </c>
      <c r="P45" s="623">
        <f ca="1">IF(M45&gt;0,N45*100/M45,0)</f>
        <v>65.076459921156371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IFERROR(__xludf.DUMMYFUNCTION("IMPORTRANGE(""https://docs.google.com/spreadsheets/d/1Yj_ptqi66GCucihVvJfMjLAmec39IyEx_6qawtMGysU/edit?usp=sharing"",""สบก!M43"")"),1029100)</f>
        <v>1029100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IFERROR(__xludf.DUMMYFUNCTION("IMPORTRANGE(""https://docs.google.com/spreadsheets/d/1Yj_ptqi66GCucihVvJfMjLAmec39IyEx_6qawtMGysU/edit?usp=sharing"",""สบก!N43"")"),0)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IFERROR(__xludf.DUMMYFUNCTION("IMPORTRANGE(""https://docs.google.com/spreadsheets/d/1Yj_ptqi66GCucihVvJfMjLAmec39IyEx_6qawtMGysU/edit?usp=sharing"",""สบก!O43"")"),978999)</f>
        <v>978999</v>
      </c>
      <c r="M49" s="625">
        <f ca="1">L49</f>
        <v>978999</v>
      </c>
      <c r="N49" s="622">
        <f ca="1">IFERROR(__xludf.DUMMYFUNCTION("IMPORTRANGE(""https://docs.google.com/spreadsheets/d/1Yj_ptqi66GCucihVvJfMjLAmec39IyEx_6qawtMGysU/edit?usp=sharing"",""สบก!S43"")"),978999)</f>
        <v>978999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762000</v>
      </c>
      <c r="M53" s="121">
        <f t="shared" ca="1" si="39"/>
        <v>578511</v>
      </c>
      <c r="N53" s="121">
        <f t="shared" ca="1" si="39"/>
        <v>394596</v>
      </c>
      <c r="O53" s="120">
        <f t="shared" ref="O53:O55" ca="1" si="40">IF(L53&gt;0,N53*100/L53,0)</f>
        <v>51.784251968503938</v>
      </c>
      <c r="P53" s="120">
        <f t="shared" ref="P53:P55" ca="1" si="41">IF(M53&gt;0,N53*100/M53,0)</f>
        <v>68.208901818634388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762000</v>
      </c>
      <c r="M55" s="121">
        <f t="shared" ca="1" si="43"/>
        <v>578511</v>
      </c>
      <c r="N55" s="121">
        <f t="shared" ca="1" si="43"/>
        <v>394596</v>
      </c>
      <c r="O55" s="120">
        <f t="shared" ca="1" si="40"/>
        <v>51.784251968503938</v>
      </c>
      <c r="P55" s="120">
        <f t="shared" ca="1" si="41"/>
        <v>68.208901818634388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762000</v>
      </c>
      <c r="M57" s="622">
        <f ca="1">IFERROR(__xludf.DUMMYFUNCTION("IMPORTRANGE(""https://docs.google.com/spreadsheets/d/1Yj_ptqi66GCucihVvJfMjLAmec39IyEx_6qawtMGysU/edit?usp=sharing"",""สบก!Z43"")"),578511)</f>
        <v>578511</v>
      </c>
      <c r="N57" s="622">
        <f ca="1">IFERROR(__xludf.DUMMYFUNCTION("IMPORTRANGE(""https://docs.google.com/spreadsheets/d/1Yj_ptqi66GCucihVvJfMjLAmec39IyEx_6qawtMGysU/edit?usp=sharing"",""สบก!AA43"")"),394596)</f>
        <v>394596</v>
      </c>
      <c r="O57" s="623">
        <f ca="1">IF(L57&gt;0,N57*100/L57,0)</f>
        <v>51.784251968503938</v>
      </c>
      <c r="P57" s="623">
        <f ca="1">IF(M57&gt;0,N57*100/M57,0)</f>
        <v>68.208901818634388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IFERROR(__xludf.DUMMYFUNCTION("IMPORTRANGE(""https://docs.google.com/spreadsheets/d/1Yj_ptqi66GCucihVvJfMjLAmec39IyEx_6qawtMGysU/edit?usp=sharing"",""สบก!V43"")"),762000)</f>
        <v>762000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IFERROR(__xludf.DUMMYFUNCTION("IMPORTRANGE(""https://docs.google.com/spreadsheets/d/1Yj_ptqi66GCucihVvJfMjLAmec39IyEx_6qawtMGysU/edit?usp=sharing"",""สบก!W43"")"),0)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IFERROR(__xludf.DUMMYFUNCTION("IMPORTRANGE(""https://docs.google.com/spreadsheets/d/1Yj_ptqi66GCucihVvJfMjLAmec39IyEx_6qawtMGysU/edit?usp=sharing"",""สบก!X43"")"),0)</f>
        <v>0</v>
      </c>
      <c r="M61" s="625"/>
      <c r="N61" s="622">
        <f ca="1">IFERROR(__xludf.DUMMYFUNCTION("IMPORTRANGE(""https://docs.google.com/spreadsheets/d/1Yj_ptqi66GCucihVvJfMjLAmec39IyEx_6qawtMGysU/edit?usp=sharing"",""สบก!AB43"")"),0)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6">
        <f ca="1">IFERROR(__xludf.DUMMYFUNCTION("IMPORTRANGE(""https://docs.google.com/spreadsheets/d/1Yj_ptqi66GCucihVvJfMjLAmec39IyEx_6qawtMGysU/edit?usp=sharing"",""สบก!AI43"")"),0)</f>
        <v>0</v>
      </c>
      <c r="N70" s="627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IFERROR(__xludf.DUMMYFUNCTION("IMPORTRANGE(""https://docs.google.com/spreadsheets/d/1Yj_ptqi66GCucihVvJfMjLAmec39IyEx_6qawtMGysU/edit?usp=sharing"",""สบก!AG43"")"),0)</f>
        <v>0</v>
      </c>
      <c r="M74" s="625"/>
      <c r="N74" s="622">
        <f ca="1">IFERROR(__xludf.DUMMYFUNCTION("IMPORTRANGE(""https://docs.google.com/spreadsheets/d/1Yj_ptqi66GCucihVvJfMjLAmec39IyEx_6qawtMGysU/edit?usp=sharing"",""สบก!AK43"")"),0)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157590</v>
      </c>
      <c r="O94" s="151">
        <f t="shared" ref="O94:O96" ca="1" si="53">IF(L94&gt;0,N94*100/L94,0)</f>
        <v>73.468531468531467</v>
      </c>
      <c r="P94" s="151">
        <f t="shared" ref="P94:P96" ca="1" si="54">IF(M94&gt;0,N94*100/M94,0)</f>
        <v>81.041886297600982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157590</v>
      </c>
      <c r="O96" s="156">
        <f t="shared" ca="1" si="53"/>
        <v>73.468531468531467</v>
      </c>
      <c r="P96" s="156">
        <f t="shared" ca="1" si="54"/>
        <v>81.041886297600982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IFERROR(__xludf.DUMMYFUNCTION("IMPORTRANGE(""https://docs.google.com/spreadsheets/d/1Yj_ptqi66GCucihVvJfMjLAmec39IyEx_6qawtMGysU/edit?usp=sharing"",""สบก!AR43"")"),102055)</f>
        <v>102055</v>
      </c>
      <c r="N98" s="627">
        <f ca="1">IFERROR(__xludf.DUMMYFUNCTION("IMPORTRANGE(""https://docs.google.com/spreadsheets/d/1Yj_ptqi66GCucihVvJfMjLAmec39IyEx_6qawtMGysU/edit?usp=sharing"",""สบก!AS43"")"),65190)</f>
        <v>65190</v>
      </c>
      <c r="O98" s="169">
        <f ca="1">IF(L98&gt;0,N98*100/L98,0)</f>
        <v>53.390663390663391</v>
      </c>
      <c r="P98" s="169">
        <f ca="1">IF(M98&gt;0,N98*100/M98,0)</f>
        <v>63.877321052373723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IFERROR(__xludf.DUMMYFUNCTION("IMPORTRANGE(""https://docs.google.com/spreadsheets/d/1Yj_ptqi66GCucihVvJfMjLAmec39IyEx_6qawtMGysU/edit?usp=sharing"",""สบก!AP43"")"),92400)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IFERROR(__xludf.DUMMYFUNCTION("IMPORTRANGE(""https://docs.google.com/spreadsheets/d/1Yj_ptqi66GCucihVvJfMjLAmec39IyEx_6qawtMGysU/edit?usp=sharing"",""สบก!AT43"")"),92400)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IFERROR(__xludf.DUMMYFUNCTION("IMPORTRANGE(""https://docs.google.com/spreadsheets/d/1XL5vhW3sbDhbH9Cz0tuDiY8C3ctxq1tqvaCgkFb8cCA/edit?usp=sharing"",""บึงกาฬ!J50"")"),0)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IFERROR(__xludf.DUMMYFUNCTION("IMPORTRANGE(""https://docs.google.com/spreadsheets/d/1Yj_ptqi66GCucihVvJfMjLAmec39IyEx_6qawtMGysU/edit?usp=sharing"",""สบก!BA43"")"),0)</f>
        <v>0</v>
      </c>
      <c r="N122" s="627">
        <f ca="1">IFERROR(__xludf.DUMMYFUNCTION("IMPORTRANGE(""https://docs.google.com/spreadsheets/d/1Yj_ptqi66GCucihVvJfMjLAmec39IyEx_6qawtMGysU/edit?usp=sharing"",""สบก!BB43"")"),0)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IFERROR(__xludf.DUMMYFUNCTION("IMPORTRANGE(""https://docs.google.com/spreadsheets/d/1Yj_ptqi66GCucihVvJfMjLAmec39IyEx_6qawtMGysU/edit?usp=sharing"",""สบก!AX43"")"),0)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IFERROR(__xludf.DUMMYFUNCTION("IMPORTRANGE(""https://docs.google.com/spreadsheets/d/1Yj_ptqi66GCucihVvJfMjLAmec39IyEx_6qawtMGysU/edit?usp=sharing"",""สบก!AY43"")"),0)</f>
        <v>0</v>
      </c>
      <c r="M126" s="625"/>
      <c r="N126" s="622">
        <f ca="1">IFERROR(__xludf.DUMMYFUNCTION("IMPORTRANGE(""https://docs.google.com/spreadsheets/d/1Yj_ptqi66GCucihVvJfMjLAmec39IyEx_6qawtMGysU/edit?usp=sharing"",""สบก!BC43"")"),0)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271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IFERROR(__xludf.DUMMYFUNCTION("IMPORTRANGE(""https://docs.google.com/spreadsheets/d/1XL5vhW3sbDhbH9Cz0tuDiY8C3ctxq1tqvaCgkFb8cCA/edit?usp=sharing"",""บึงกาฬ!J65"")"),0)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IFERROR(__xludf.DUMMYFUNCTION("IMPORTRANGE(""https://docs.google.com/spreadsheets/d/1XL5vhW3sbDhbH9Cz0tuDiY8C3ctxq1tqvaCgkFb8cCA/edit?usp=sharing"",""บึงกาฬ!I68"")"),0)</f>
        <v>0</v>
      </c>
      <c r="J138" s="267">
        <f ca="1">IFERROR(__xludf.DUMMYFUNCTION("IMPORTRANGE(""https://docs.google.com/spreadsheets/d/1XL5vhW3sbDhbH9Cz0tuDiY8C3ctxq1tqvaCgkFb8cCA/edit?usp=sharing"",""บึงกาฬ!J68"")"),0)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173625</v>
      </c>
      <c r="N140" s="152">
        <f t="shared" ca="1" si="64"/>
        <v>124130</v>
      </c>
      <c r="O140" s="151">
        <f t="shared" ref="O140:O142" ca="1" si="65">IF(L140&gt;0,N140*100/L140,0)</f>
        <v>70.328611898017002</v>
      </c>
      <c r="P140" s="151">
        <f t="shared" ref="P140:P142" ca="1" si="66">IF(M140&gt;0,N140*100/M140,0)</f>
        <v>71.493160547156222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173625</v>
      </c>
      <c r="N142" s="157">
        <f t="shared" ca="1" si="68"/>
        <v>124130</v>
      </c>
      <c r="O142" s="156">
        <f t="shared" ca="1" si="65"/>
        <v>70.328611898017002</v>
      </c>
      <c r="P142" s="156">
        <f t="shared" ca="1" si="66"/>
        <v>71.493160547156222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626">
        <f ca="1">IFERROR(__xludf.DUMMYFUNCTION("IMPORTRANGE(""https://docs.google.com/spreadsheets/d/1Yj_ptqi66GCucihVvJfMjLAmec39IyEx_6qawtMGysU/edit?usp=sharing"",""สบก!BJ43"")"),173625)</f>
        <v>173625</v>
      </c>
      <c r="N144" s="627">
        <f ca="1">IFERROR(__xludf.DUMMYFUNCTION("IMPORTRANGE(""https://docs.google.com/spreadsheets/d/1Yj_ptqi66GCucihVvJfMjLAmec39IyEx_6qawtMGysU/edit?usp=sharing"",""สบก!BK43"")"),124130)</f>
        <v>124130</v>
      </c>
      <c r="O144" s="169">
        <f ca="1">IF(L144&gt;0,N144*100/L144,0)</f>
        <v>70.328611898017002</v>
      </c>
      <c r="P144" s="169">
        <f ca="1">IF(M144&gt;0,N144*100/M144,0)</f>
        <v>71.493160547156222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IFERROR(__xludf.DUMMYFUNCTION("IMPORTRANGE(""https://docs.google.com/spreadsheets/d/1Yj_ptqi66GCucihVvJfMjLAmec39IyEx_6qawtMGysU/edit?usp=sharing"",""สบก!BH43"")"),0)</f>
        <v>0</v>
      </c>
      <c r="M148" s="625"/>
      <c r="N148" s="622">
        <f ca="1">IFERROR(__xludf.DUMMYFUNCTION("IMPORTRANGE(""https://docs.google.com/spreadsheets/d/1Yj_ptqi66GCucihVvJfMjLAmec39IyEx_6qawtMGysU/edit?usp=sharing"",""สบก!BL43"")"),0)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IFERROR(__xludf.DUMMYFUNCTION("IMPORTRANGE(""https://docs.google.com/spreadsheets/d/1XL5vhW3sbDhbH9Cz0tuDiY8C3ctxq1tqvaCgkFb8cCA/edit?usp=sharing"",""บึงกาฬ!I74"")"),4)</f>
        <v>4</v>
      </c>
      <c r="J149" s="275">
        <f ca="1">IFERROR(__xludf.DUMMYFUNCTION("IMPORTRANGE(""https://docs.google.com/spreadsheets/d/1XL5vhW3sbDhbH9Cz0tuDiY8C3ctxq1tqvaCgkFb8cCA/edit?usp=sharing"",""บึงกาฬ!J74"")"),2)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IFERROR(__xludf.DUMMYFUNCTION("IMPORTRANGE(""https://docs.google.com/spreadsheets/d/1XL5vhW3sbDhbH9Cz0tuDiY8C3ctxq1tqvaCgkFb8cCA/edit?usp=sharing"",""บึงกาฬ!J84"")"),37)</f>
        <v>37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IFERROR(__xludf.DUMMYFUNCTION("IMPORTRANGE(""https://docs.google.com/spreadsheets/d/1XL5vhW3sbDhbH9Cz0tuDiY8C3ctxq1tqvaCgkFb8cCA/edit?usp=sharing"",""บึงกาฬ!J85"")"),37)</f>
        <v>37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IFERROR(__xludf.DUMMYFUNCTION("IMPORTRANGE(""https://docs.google.com/spreadsheets/d/1XL5vhW3sbDhbH9Cz0tuDiY8C3ctxq1tqvaCgkFb8cCA/edit?usp=sharing"",""บึงกาฬ!J88"")"),0)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IFERROR(__xludf.DUMMYFUNCTION("IMPORTRANGE(""https://docs.google.com/spreadsheets/d/1XL5vhW3sbDhbH9Cz0tuDiY8C3ctxq1tqvaCgkFb8cCA/edit?usp=sharing"",""บึงกาฬ!I89"")"),5)</f>
        <v>5</v>
      </c>
      <c r="J164" s="284">
        <f ca="1">IFERROR(__xludf.DUMMYFUNCTION("IMPORTRANGE(""https://docs.google.com/spreadsheets/d/1XL5vhW3sbDhbH9Cz0tuDiY8C3ctxq1tqvaCgkFb8cCA/edit?usp=sharing"",""บึงกาฬ!J89"")"),5)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IFERROR(__xludf.DUMMYFUNCTION("IMPORTRANGE(""https://docs.google.com/spreadsheets/d/1XL5vhW3sbDhbH9Cz0tuDiY8C3ctxq1tqvaCgkFb8cCA/edit?usp=sharing"",""บึงกาฬ!I101"")"),6)</f>
        <v>6</v>
      </c>
      <c r="J176" s="284">
        <f ca="1">IFERROR(__xludf.DUMMYFUNCTION("IMPORTRANGE(""https://docs.google.com/spreadsheets/d/1XL5vhW3sbDhbH9Cz0tuDiY8C3ctxq1tqvaCgkFb8cCA/edit?usp=sharing"",""บึงกาฬ!J101"")"),6)</f>
        <v>6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IFERROR(__xludf.DUMMYFUNCTION("IMPORTRANGE(""https://docs.google.com/spreadsheets/d/1XL5vhW3sbDhbH9Cz0tuDiY8C3ctxq1tqvaCgkFb8cCA/edit?usp=sharing"",""บึงกาฬ!J113"")"),0)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IFERROR(__xludf.DUMMYFUNCTION("IMPORTRANGE(""https://docs.google.com/spreadsheets/d/1XL5vhW3sbDhbH9Cz0tuDiY8C3ctxq1tqvaCgkFb8cCA/edit?usp=sharing"",""บึงกาฬ!I114"")"),20000)</f>
        <v>20000</v>
      </c>
      <c r="J189" s="284">
        <f ca="1">IFERROR(__xludf.DUMMYFUNCTION("IMPORTRANGE(""https://docs.google.com/spreadsheets/d/1XL5vhW3sbDhbH9Cz0tuDiY8C3ctxq1tqvaCgkFb8cCA/edit?usp=sharing"",""บึงกาฬ!J114"")"),0)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IFERROR(__xludf.DUMMYFUNCTION("IMPORTRANGE(""https://docs.google.com/spreadsheets/d/1XL5vhW3sbDhbH9Cz0tuDiY8C3ctxq1tqvaCgkFb8cCA/edit?usp=sharing"",""บึงกาฬ!J128"")"),0)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IFERROR(__xludf.DUMMYFUNCTION("IMPORTRANGE(""https://docs.google.com/spreadsheets/d/1XL5vhW3sbDhbH9Cz0tuDiY8C3ctxq1tqvaCgkFb8cCA/edit?usp=sharing"",""บึงกาฬ!I129"")"),0)</f>
        <v>0</v>
      </c>
      <c r="J204" s="284">
        <f ca="1">IFERROR(__xludf.DUMMYFUNCTION("IMPORTRANGE(""https://docs.google.com/spreadsheets/d/1XL5vhW3sbDhbH9Cz0tuDiY8C3ctxq1tqvaCgkFb8cCA/edit?usp=sharing"",""บึงกาฬ!J129"")"),0)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IFERROR(__xludf.DUMMYFUNCTION("IMPORTRANGE(""https://docs.google.com/spreadsheets/d/1XL5vhW3sbDhbH9Cz0tuDiY8C3ctxq1tqvaCgkFb8cCA/edit?usp=sharing"",""บึงกาฬ!J143"")"),0)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IFERROR(__xludf.DUMMYFUNCTION("IMPORTRANGE(""https://docs.google.com/spreadsheets/d/1XL5vhW3sbDhbH9Cz0tuDiY8C3ctxq1tqvaCgkFb8cCA/edit?usp=sharing"",""บึงกาฬ!I144"")"),14)</f>
        <v>14</v>
      </c>
      <c r="J219" s="267">
        <f ca="1">IFERROR(__xludf.DUMMYFUNCTION("IMPORTRANGE(""https://docs.google.com/spreadsheets/d/1XL5vhW3sbDhbH9Cz0tuDiY8C3ctxq1tqvaCgkFb8cCA/edit?usp=sharing"",""บึงกาฬ!J144"")"),14)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20196</v>
      </c>
      <c r="O220" s="151">
        <f t="shared" ref="O220:O222" ca="1" si="73">IF(L220&gt;0,N220*100/L220,0)</f>
        <v>99.930727362691741</v>
      </c>
      <c r="P220" s="151">
        <f t="shared" ref="P220:P222" ca="1" si="74">IF(M220&gt;0,N220*100/M220,0)</f>
        <v>99.930727362691741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20196</v>
      </c>
      <c r="O222" s="156">
        <f t="shared" ca="1" si="73"/>
        <v>99.930727362691741</v>
      </c>
      <c r="P222" s="156">
        <f t="shared" ca="1" si="74"/>
        <v>99.930727362691741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IFERROR(__xludf.DUMMYFUNCTION("IMPORTRANGE(""https://docs.google.com/spreadsheets/d/1Yj_ptqi66GCucihVvJfMjLAmec39IyEx_6qawtMGysU/edit?usp=sharing"",""สบก!BS43"")"),20210)</f>
        <v>20210</v>
      </c>
      <c r="N224" s="627">
        <f ca="1">IFERROR(__xludf.DUMMYFUNCTION("IMPORTRANGE(""https://docs.google.com/spreadsheets/d/1Yj_ptqi66GCucihVvJfMjLAmec39IyEx_6qawtMGysU/edit?usp=sharing"",""สบก!BT43"")"),20196)</f>
        <v>20196</v>
      </c>
      <c r="O224" s="169">
        <f ca="1">IF(L224&gt;0,N224*100/L224,0)</f>
        <v>99.930727362691741</v>
      </c>
      <c r="P224" s="169">
        <f ca="1">IF(M224&gt;0,N224*100/M224,0)</f>
        <v>99.930727362691741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IFERROR(__xludf.DUMMYFUNCTION("IMPORTRANGE(""https://docs.google.com/spreadsheets/d/1Yj_ptqi66GCucihVvJfMjLAmec39IyEx_6qawtMGysU/edit?usp=sharing"",""สบก!BP43"")"),20210)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IFERROR(__xludf.DUMMYFUNCTION("IMPORTRANGE(""https://docs.google.com/spreadsheets/d/1Yj_ptqi66GCucihVvJfMjLAmec39IyEx_6qawtMGysU/edit?usp=sharing"",""สบก!BQ43"")"),0)</f>
        <v>0</v>
      </c>
      <c r="M228" s="625"/>
      <c r="N228" s="622">
        <f ca="1">IFERROR(__xludf.DUMMYFUNCTION("IMPORTRANGE(""https://docs.google.com/spreadsheets/d/1Yj_ptqi66GCucihVvJfMjLAmec39IyEx_6qawtMGysU/edit?usp=sharing"",""สบก!BU43"")"),0)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IFERROR(__xludf.DUMMYFUNCTION("IMPORTRANGE(""https://docs.google.com/spreadsheets/d/1XL5vhW3sbDhbH9Cz0tuDiY8C3ctxq1tqvaCgkFb8cCA/edit?usp=sharing"",""บึงกาฬ!I149"")"),14)</f>
        <v>14</v>
      </c>
      <c r="J229" s="267">
        <f ca="1">IFERROR(__xludf.DUMMYFUNCTION("IMPORTRANGE(""https://docs.google.com/spreadsheets/d/1XL5vhW3sbDhbH9Cz0tuDiY8C3ctxq1tqvaCgkFb8cCA/edit?usp=sharing"",""บึงกาฬ!J149"")"),14)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IFERROR(__xludf.DUMMYFUNCTION("IMPORTRANGE(""https://docs.google.com/spreadsheets/d/1XL5vhW3sbDhbH9Cz0tuDiY8C3ctxq1tqvaCgkFb8cCA/edit?usp=sharing"",""บึงกาฬ!J157"")"),0)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IFERROR(__xludf.DUMMYFUNCTION("IMPORTRANGE(""https://docs.google.com/spreadsheets/d/1XL5vhW3sbDhbH9Cz0tuDiY8C3ctxq1tqvaCgkFb8cCA/edit?usp=sharing"",""บึงกาฬ!I158"")"),0)</f>
        <v>0</v>
      </c>
      <c r="J238" s="267">
        <f ca="1">IFERROR(__xludf.DUMMYFUNCTION("IMPORTRANGE(""https://docs.google.com/spreadsheets/d/1XL5vhW3sbDhbH9Cz0tuDiY8C3ctxq1tqvaCgkFb8cCA/edit?usp=sharing"",""บึงกาฬ!J158"")"),0)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IFERROR(__xludf.DUMMYFUNCTION("IMPORTRANGE(""https://docs.google.com/spreadsheets/d/1XL5vhW3sbDhbH9Cz0tuDiY8C3ctxq1tqvaCgkFb8cCA/edit?usp=sharing"",""บึงกาฬ!J166"")"),0)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IFERROR(__xludf.DUMMYFUNCTION("IMPORTRANGE(""https://docs.google.com/spreadsheets/d/1XL5vhW3sbDhbH9Cz0tuDiY8C3ctxq1tqvaCgkFb8cCA/edit?usp=sharing"",""บึงกาฬ!I169"")"),0)</f>
        <v>0</v>
      </c>
      <c r="J249" s="316">
        <f ca="1">IFERROR(__xludf.DUMMYFUNCTION("IMPORTRANGE(""https://docs.google.com/spreadsheets/d/1XL5vhW3sbDhbH9Cz0tuDiY8C3ctxq1tqvaCgkFb8cCA/edit?usp=sharing"",""บึงกาฬ!J169"")"),0)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IFERROR(__xludf.DUMMYFUNCTION("IMPORTRANGE(""https://docs.google.com/spreadsheets/d/1Yj_ptqi66GCucihVvJfMjLAmec39IyEx_6qawtMGysU/edit?usp=sharing"",""สบก!CB43"")"),0)</f>
        <v>0</v>
      </c>
      <c r="N254" s="627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IFERROR(__xludf.DUMMYFUNCTION("IMPORTRANGE(""https://docs.google.com/spreadsheets/d/1Yj_ptqi66GCucihVvJfMjLAmec39IyEx_6qawtMGysU/edit?usp=sharing"",""สบก!BZ43"")"),0)</f>
        <v>0</v>
      </c>
      <c r="M258" s="625"/>
      <c r="N258" s="622">
        <f ca="1">IFERROR(__xludf.DUMMYFUNCTION("IMPORTRANGE(""https://docs.google.com/spreadsheets/d/1Yj_ptqi66GCucihVvJfMjLAmec39IyEx_6qawtMGysU/edit?usp=sharing"",""สบก!CD43"")"),0)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IFERROR(__xludf.DUMMYFUNCTION("IMPORTRANGE(""https://docs.google.com/spreadsheets/d/1XL5vhW3sbDhbH9Cz0tuDiY8C3ctxq1tqvaCgkFb8cCA/edit?usp=sharing"",""บึงกาฬ!J184"")"),0)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IFERROR(__xludf.DUMMYFUNCTION("IMPORTRANGE(""https://docs.google.com/spreadsheets/d/1XL5vhW3sbDhbH9Cz0tuDiY8C3ctxq1tqvaCgkFb8cCA/edit?usp=sharing"",""บึงกาฬ!I185"")"),0)</f>
        <v>0</v>
      </c>
      <c r="J270" s="316">
        <f ca="1">IFERROR(__xludf.DUMMYFUNCTION("IMPORTRANGE(""https://docs.google.com/spreadsheets/d/1XL5vhW3sbDhbH9Cz0tuDiY8C3ctxq1tqvaCgkFb8cCA/edit?usp=sharing"",""บึงกาฬ!J185"")"),0)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IFERROR(__xludf.DUMMYFUNCTION("IMPORTRANGE(""https://docs.google.com/spreadsheets/d/1Yj_ptqi66GCucihVvJfMjLAmec39IyEx_6qawtMGysU/edit?usp=sharing"",""สบก!CK43"")"),0)</f>
        <v>0</v>
      </c>
      <c r="N275" s="627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IFERROR(__xludf.DUMMYFUNCTION("IMPORTRANGE(""https://docs.google.com/spreadsheets/d/1Yj_ptqi66GCucihVvJfMjLAmec39IyEx_6qawtMGysU/edit?usp=sharing"",""สบก!CI43"")"),0)</f>
        <v>0</v>
      </c>
      <c r="M279" s="625"/>
      <c r="N279" s="622">
        <f ca="1">IFERROR(__xludf.DUMMYFUNCTION("IMPORTRANGE(""https://docs.google.com/spreadsheets/d/1Yj_ptqi66GCucihVvJfMjLAmec39IyEx_6qawtMGysU/edit?usp=sharing"",""สบก!CM43"")"),0)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IFERROR(__xludf.DUMMYFUNCTION("IMPORTRANGE(""https://docs.google.com/spreadsheets/d/1XL5vhW3sbDhbH9Cz0tuDiY8C3ctxq1tqvaCgkFb8cCA/edit?usp=sharing"",""บึงกาฬ!I199"")"),0)</f>
        <v>0</v>
      </c>
      <c r="J289" s="316">
        <f ca="1">IFERROR(__xludf.DUMMYFUNCTION("IMPORTRANGE(""https://docs.google.com/spreadsheets/d/1XL5vhW3sbDhbH9Cz0tuDiY8C3ctxq1tqvaCgkFb8cCA/edit?usp=sharing"",""บึงกาฬ!J199"")"),0)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IFERROR(__xludf.DUMMYFUNCTION("IMPORTRANGE(""https://docs.google.com/spreadsheets/d/1Yj_ptqi66GCucihVvJfMjLAmec39IyEx_6qawtMGysU/edit?usp=sharing"",""สบก!CT43"")"),0)</f>
        <v>0</v>
      </c>
      <c r="N294" s="627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IFERROR(__xludf.DUMMYFUNCTION("IMPORTRANGE(""https://docs.google.com/spreadsheets/d/1Yj_ptqi66GCucihVvJfMjLAmec39IyEx_6qawtMGysU/edit?usp=sharing"",""สบก!CR43"")"),0)</f>
        <v>0</v>
      </c>
      <c r="M298" s="625"/>
      <c r="N298" s="622">
        <f ca="1">IFERROR(__xludf.DUMMYFUNCTION("IMPORTRANGE(""https://docs.google.com/spreadsheets/d/1Yj_ptqi66GCucihVvJfMjLAmec39IyEx_6qawtMGysU/edit?usp=sharing"",""สบก!CV43"")"),0)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IFERROR(__xludf.DUMMYFUNCTION("IMPORTRANGE(""https://docs.google.com/spreadsheets/d/1XL5vhW3sbDhbH9Cz0tuDiY8C3ctxq1tqvaCgkFb8cCA/edit?usp=sharing"",""บึงกาฬ!J213"")"),0)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IFERROR(__xludf.DUMMYFUNCTION("IMPORTRANGE(""https://docs.google.com/spreadsheets/d/1XL5vhW3sbDhbH9Cz0tuDiY8C3ctxq1tqvaCgkFb8cCA/edit?usp=sharing"",""บึงกาฬ!I214"")"),0)</f>
        <v>0</v>
      </c>
      <c r="J309" s="333">
        <f ca="1">IFERROR(__xludf.DUMMYFUNCTION("IMPORTRANGE(""https://docs.google.com/spreadsheets/d/1XL5vhW3sbDhbH9Cz0tuDiY8C3ctxq1tqvaCgkFb8cCA/edit?usp=sharing"",""บึงกาฬ!J214"")"),0)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IFERROR(__xludf.DUMMYFUNCTION("IMPORTRANGE(""https://docs.google.com/spreadsheets/d/1Yj_ptqi66GCucihVvJfMjLAmec39IyEx_6qawtMGysU/edit?usp=sharing"",""สบก!DC43"")"),0)</f>
        <v>0</v>
      </c>
      <c r="N314" s="627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IFERROR(__xludf.DUMMYFUNCTION("IMPORTRANGE(""https://docs.google.com/spreadsheets/d/1Yj_ptqi66GCucihVvJfMjLAmec39IyEx_6qawtMGysU/edit?usp=sharing"",""สบก!DA43"")"),0)</f>
        <v>0</v>
      </c>
      <c r="M318" s="625"/>
      <c r="N318" s="622">
        <f ca="1">IFERROR(__xludf.DUMMYFUNCTION("IMPORTRANGE(""https://docs.google.com/spreadsheets/d/1Yj_ptqi66GCucihVvJfMjLAmec39IyEx_6qawtMGysU/edit?usp=sharing"",""สบก!DE43"")"),0)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IFERROR(__xludf.DUMMYFUNCTION("IMPORTRANGE(""https://docs.google.com/spreadsheets/d/1XL5vhW3sbDhbH9Cz0tuDiY8C3ctxq1tqvaCgkFb8cCA/edit?usp=sharing"",""บึงกาฬ!J226"")"),0)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IFERROR(__xludf.DUMMYFUNCTION("IMPORTRANGE(""https://docs.google.com/spreadsheets/d/1XL5vhW3sbDhbH9Cz0tuDiY8C3ctxq1tqvaCgkFb8cCA/edit?usp=sharing"",""บึงกาฬ!I228"")"),690)</f>
        <v>690</v>
      </c>
      <c r="J328" s="339">
        <f ca="1">IFERROR(__xludf.DUMMYFUNCTION("IMPORTRANGE(""https://docs.google.com/spreadsheets/d/1XL5vhW3sbDhbH9Cz0tuDiY8C3ctxq1tqvaCgkFb8cCA/edit?usp=sharing"",""บึงกาฬ!J228"")"),403)</f>
        <v>403</v>
      </c>
      <c r="K328" s="317">
        <f ca="1">IF(I328&gt;0,J328*100/I328,0)</f>
        <v>58.405797101449274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1646400</v>
      </c>
      <c r="M329" s="152">
        <f t="shared" ca="1" si="98"/>
        <v>1396600</v>
      </c>
      <c r="N329" s="152">
        <f t="shared" ca="1" si="98"/>
        <v>1058610.8199999998</v>
      </c>
      <c r="O329" s="151">
        <f t="shared" ref="O329:O331" ca="1" si="99">IF(L329&gt;0,N329*100/L329,0)</f>
        <v>64.298519193391627</v>
      </c>
      <c r="P329" s="151">
        <f t="shared" ref="P329:P331" ca="1" si="100">IF(M329&gt;0,N329*100/M329,0)</f>
        <v>75.799142202491751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1646400</v>
      </c>
      <c r="M331" s="157">
        <f t="shared" ca="1" si="102"/>
        <v>1396600</v>
      </c>
      <c r="N331" s="157">
        <f t="shared" ca="1" si="102"/>
        <v>1058610.8199999998</v>
      </c>
      <c r="O331" s="156">
        <f t="shared" ca="1" si="99"/>
        <v>64.298519193391627</v>
      </c>
      <c r="P331" s="156">
        <f t="shared" ca="1" si="100"/>
        <v>75.799142202491751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1554300</v>
      </c>
      <c r="M333" s="626">
        <f ca="1">IFERROR(__xludf.DUMMYFUNCTION("IMPORTRANGE(""https://docs.google.com/spreadsheets/d/1Yj_ptqi66GCucihVvJfMjLAmec39IyEx_6qawtMGysU/edit?usp=sharing"",""สบก!DL43"")"),1304500)</f>
        <v>1304500</v>
      </c>
      <c r="N333" s="627">
        <f ca="1">IFERROR(__xludf.DUMMYFUNCTION("IMPORTRANGE(""https://docs.google.com/spreadsheets/d/1Yj_ptqi66GCucihVvJfMjLAmec39IyEx_6qawtMGysU/edit?usp=sharing"",""สบก!DM43"")"),966510.82)</f>
        <v>966510.82</v>
      </c>
      <c r="O333" s="169">
        <f ca="1">IF(L333&gt;0,N333*100/L333,0)</f>
        <v>62.183029016277423</v>
      </c>
      <c r="P333" s="169">
        <f ca="1">IF(M333&gt;0,N333*100/M333,0)</f>
        <v>74.090518972786512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IFERROR(__xludf.DUMMYFUNCTION("IMPORTRANGE(""https://docs.google.com/spreadsheets/d/1Yj_ptqi66GCucihVvJfMjLAmec39IyEx_6qawtMGysU/edit?usp=sharing"",""สบก!DI43"")"),1044000)</f>
        <v>1044000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IFERROR(__xludf.DUMMYFUNCTION("IMPORTRANGE(""https://docs.google.com/spreadsheets/d/1Yj_ptqi66GCucihVvJfMjLAmec39IyEx_6qawtMGysU/edit?usp=sharing"",""สบก!DJ43"")"),92100)</f>
        <v>92100</v>
      </c>
      <c r="M337" s="625">
        <f ca="1">L337</f>
        <v>92100</v>
      </c>
      <c r="N337" s="622">
        <f ca="1">IFERROR(__xludf.DUMMYFUNCTION("IMPORTRANGE(""https://docs.google.com/spreadsheets/d/1Yj_ptqi66GCucihVvJfMjLAmec39IyEx_6qawtMGysU/edit?usp=sharing"",""สบก!DN43"")"),92100)</f>
        <v>92100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IFERROR(__xludf.DUMMYFUNCTION("IMPORTRANGE(""https://docs.google.com/spreadsheets/d/1XL5vhW3sbDhbH9Cz0tuDiY8C3ctxq1tqvaCgkFb8cCA/edit?usp=sharing"",""บึงกาฬ!J234"")"),537)</f>
        <v>537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IFERROR(__xludf.DUMMYFUNCTION("IMPORTRANGE(""https://docs.google.com/spreadsheets/d/1XL5vhW3sbDhbH9Cz0tuDiY8C3ctxq1tqvaCgkFb8cCA/edit?usp=sharing"",""บึงกาฬ!I235"")"),8000)</f>
        <v>8000</v>
      </c>
      <c r="J340" s="188">
        <f ca="1">IFERROR(__xludf.DUMMYFUNCTION("IMPORTRANGE(""https://docs.google.com/spreadsheets/d/1XL5vhW3sbDhbH9Cz0tuDiY8C3ctxq1tqvaCgkFb8cCA/edit?usp=sharing"",""บึงกาฬ!J235"")"),5493.38999999999)</f>
        <v>5493.3899999999903</v>
      </c>
      <c r="K340" s="342">
        <f t="shared" ca="1" si="103"/>
        <v>68.667374999999879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IFERROR(__xludf.DUMMYFUNCTION("IMPORTRANGE(""https://docs.google.com/spreadsheets/d/1XL5vhW3sbDhbH9Cz0tuDiY8C3ctxq1tqvaCgkFb8cCA/edit?usp=sharing"",""บึงกาฬ!I236"")"),690)</f>
        <v>690</v>
      </c>
      <c r="J341" s="188">
        <f ca="1">IFERROR(__xludf.DUMMYFUNCTION("IMPORTRANGE(""https://docs.google.com/spreadsheets/d/1XL5vhW3sbDhbH9Cz0tuDiY8C3ctxq1tqvaCgkFb8cCA/edit?usp=sharing"",""บึงกาฬ!J236"")"),436)</f>
        <v>436</v>
      </c>
      <c r="K341" s="342">
        <f t="shared" ca="1" si="103"/>
        <v>63.188405797101453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IFERROR(__xludf.DUMMYFUNCTION("IMPORTRANGE(""https://docs.google.com/spreadsheets/d/1XL5vhW3sbDhbH9Cz0tuDiY8C3ctxq1tqvaCgkFb8cCA/edit?usp=sharing"",""บึงกาฬ!J237"")"),6187.07)</f>
        <v>6187.07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IFERROR(__xludf.DUMMYFUNCTION("IMPORTRANGE(""https://docs.google.com/spreadsheets/d/1XL5vhW3sbDhbH9Cz0tuDiY8C3ctxq1tqvaCgkFb8cCA/edit?usp=sharing"",""บึงกาฬ!I238"")"),690)</f>
        <v>690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IFERROR(__xludf.DUMMYFUNCTION("IMPORTRANGE(""https://docs.google.com/spreadsheets/d/1XL5vhW3sbDhbH9Cz0tuDiY8C3ctxq1tqvaCgkFb8cCA/edit?usp=sharing"",""บึงกาฬ!I240"")"),690)</f>
        <v>690</v>
      </c>
      <c r="J345" s="188">
        <f ca="1">IFERROR(__xludf.DUMMYFUNCTION("IMPORTRANGE(""https://docs.google.com/spreadsheets/d/1XL5vhW3sbDhbH9Cz0tuDiY8C3ctxq1tqvaCgkFb8cCA/edit?usp=sharing"",""บึงกาฬ!J240"")"),403)</f>
        <v>403</v>
      </c>
      <c r="K345" s="342">
        <f t="shared" ca="1" si="103"/>
        <v>58.405797101449274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IFERROR(__xludf.DUMMYFUNCTION("IMPORTRANGE(""https://docs.google.com/spreadsheets/d/1XL5vhW3sbDhbH9Cz0tuDiY8C3ctxq1tqvaCgkFb8cCA/edit?usp=sharing"",""บึงกาฬ!J241"")"),5763.97)</f>
        <v>5763.97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IFERROR(__xludf.DUMMYFUNCTION("IMPORTRANGE(""https://docs.google.com/spreadsheets/d/1XL5vhW3sbDhbH9Cz0tuDiY8C3ctxq1tqvaCgkFb8cCA/edit?usp=sharing"",""บึงกาฬ!L242"")"),2769845)</f>
        <v>2769845</v>
      </c>
      <c r="M347" s="358"/>
      <c r="N347" s="358">
        <f ca="1">IFERROR(__xludf.DUMMYFUNCTION("IMPORTRANGE(""https://docs.google.com/spreadsheets/d/1XL5vhW3sbDhbH9Cz0tuDiY8C3ctxq1tqvaCgkFb8cCA/edit?usp=sharing"",""บึงกาฬ!M242"")"),1061802)</f>
        <v>1061802</v>
      </c>
      <c r="O347" s="358">
        <f ca="1">+IF(L347&gt;0,N347*100/L347,0)</f>
        <v>38.33434722881605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IFERROR(__xludf.DUMMYFUNCTION("IMPORTRANGE(""https://docs.google.com/spreadsheets/d/1XL5vhW3sbDhbH9Cz0tuDiY8C3ctxq1tqvaCgkFb8cCA/edit?usp=sharing"",""บึงกาฬ!M244"")"),132387)</f>
        <v>132387</v>
      </c>
      <c r="O349" s="373">
        <f ca="1">+IF(L349&gt;0,N349*100/L349,0)</f>
        <v>29.277500110575435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IFERROR(__xludf.DUMMYFUNCTION("IMPORTRANGE(""https://docs.google.com/spreadsheets/d/1XL5vhW3sbDhbH9Cz0tuDiY8C3ctxq1tqvaCgkFb8cCA/edit?usp=sharing"",""บึงกาฬ!L247"")"),452180)</f>
        <v>452180</v>
      </c>
      <c r="M352" s="165"/>
      <c r="N352" s="164">
        <f ca="1">IFERROR(__xludf.DUMMYFUNCTION("IMPORTRANGE(""https://docs.google.com/spreadsheets/d/1XL5vhW3sbDhbH9Cz0tuDiY8C3ctxq1tqvaCgkFb8cCA/edit?usp=sharing"",""บึงกาฬ!M247"")"),132387)</f>
        <v>132387</v>
      </c>
      <c r="O352" s="165">
        <f t="shared" ca="1" si="105"/>
        <v>29.277500110575435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IFERROR(__xludf.DUMMYFUNCTION("IMPORTRANGE(""https://docs.google.com/spreadsheets/d/1XL5vhW3sbDhbH9Cz0tuDiY8C3ctxq1tqvaCgkFb8cCA/edit?usp=sharing"",""บึงกาฬ!L249"")"),452180)</f>
        <v>452180</v>
      </c>
      <c r="M354" s="169"/>
      <c r="N354" s="168">
        <f ca="1">IFERROR(__xludf.DUMMYFUNCTION("IMPORTRANGE(""https://docs.google.com/spreadsheets/d/1XL5vhW3sbDhbH9Cz0tuDiY8C3ctxq1tqvaCgkFb8cCA/edit?usp=sharing"",""บึงกาฬ!M249"")"),132387)</f>
        <v>132387</v>
      </c>
      <c r="O354" s="169">
        <f t="shared" ca="1" si="105"/>
        <v>29.277500110575435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IFERROR(__xludf.DUMMYFUNCTION("IMPORTRANGE(""https://docs.google.com/spreadsheets/d/1XL5vhW3sbDhbH9Cz0tuDiY8C3ctxq1tqvaCgkFb8cCA/edit?usp=sharing"",""บึงกาฬ!M250"")"),52138)</f>
        <v>52138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IFERROR(__xludf.DUMMYFUNCTION("IMPORTRANGE(""https://docs.google.com/spreadsheets/d/1XL5vhW3sbDhbH9Cz0tuDiY8C3ctxq1tqvaCgkFb8cCA/edit?usp=sharing"",""บึงกาฬ!M252"")"),59200)</f>
        <v>59200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IFERROR(__xludf.DUMMYFUNCTION("IMPORTRANGE(""https://docs.google.com/spreadsheets/d/1XL5vhW3sbDhbH9Cz0tuDiY8C3ctxq1tqvaCgkFb8cCA/edit?usp=sharing"",""บึงกาฬ!M253"")"),21049)</f>
        <v>21049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IFERROR(__xludf.DUMMYFUNCTION("IMPORTRANGE(""https://docs.google.com/spreadsheets/d/1XL5vhW3sbDhbH9Cz0tuDiY8C3ctxq1tqvaCgkFb8cCA/edit?usp=sharing"",""บึงกาฬ!J274"")"),0)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IFERROR(__xludf.DUMMYFUNCTION("IMPORTRANGE(""https://docs.google.com/spreadsheets/d/1XL5vhW3sbDhbH9Cz0tuDiY8C3ctxq1tqvaCgkFb8cCA/edit?usp=sharing"",""บึงกาฬ!M275"")"),304260)</f>
        <v>304260</v>
      </c>
      <c r="O380" s="373">
        <f ca="1">+IF(L380&gt;0,N380*100/L380,0)</f>
        <v>29.582312448955783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IFERROR(__xludf.DUMMYFUNCTION("IMPORTRANGE(""https://docs.google.com/spreadsheets/d/1XL5vhW3sbDhbH9Cz0tuDiY8C3ctxq1tqvaCgkFb8cCA/edit?usp=sharing"",""บึงกาฬ!M278"")"),304260)</f>
        <v>304260</v>
      </c>
      <c r="O383" s="165">
        <f t="shared" ca="1" si="109"/>
        <v>29.582312448955783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IFERROR(__xludf.DUMMYFUNCTION("IMPORTRANGE(""https://docs.google.com/spreadsheets/d/1XL5vhW3sbDhbH9Cz0tuDiY8C3ctxq1tqvaCgkFb8cCA/edit?usp=sharing"",""บึงกาฬ!M280"")"),304260)</f>
        <v>304260</v>
      </c>
      <c r="O385" s="169">
        <f t="shared" ca="1" si="109"/>
        <v>29.582312448955783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IFERROR(__xludf.DUMMYFUNCTION("IMPORTRANGE(""https://docs.google.com/spreadsheets/d/1XL5vhW3sbDhbH9Cz0tuDiY8C3ctxq1tqvaCgkFb8cCA/edit?usp=sharing"",""บึงกาฬ!M283"")"),77535)</f>
        <v>77535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IFERROR(__xludf.DUMMYFUNCTION("IMPORTRANGE(""https://docs.google.com/spreadsheets/d/1XL5vhW3sbDhbH9Cz0tuDiY8C3ctxq1tqvaCgkFb8cCA/edit?usp=sharing"",""บึงกาฬ!M284"")"),28725)</f>
        <v>28725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IFERROR(__xludf.DUMMYFUNCTION("IMPORTRANGE(""https://docs.google.com/spreadsheets/d/1XL5vhW3sbDhbH9Cz0tuDiY8C3ctxq1tqvaCgkFb8cCA/edit?usp=sharing"",""บึงกาฬ!J295"")"),0)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IFERROR(__xludf.DUMMYFUNCTION("IMPORTRANGE(""https://docs.google.com/spreadsheets/d/1XL5vhW3sbDhbH9Cz0tuDiY8C3ctxq1tqvaCgkFb8cCA/edit?usp=sharing"",""บึงกาฬ!J296"")"),90)</f>
        <v>90</v>
      </c>
      <c r="K401" s="372">
        <f t="shared" ref="K401:K402" ca="1" si="111">IF(I401&gt;0,J401*100/I401,0)</f>
        <v>75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IFERROR(__xludf.DUMMYFUNCTION("IMPORTRANGE(""https://docs.google.com/spreadsheets/d/1XL5vhW3sbDhbH9Cz0tuDiY8C3ctxq1tqvaCgkFb8cCA/edit?usp=sharing"",""บึงกาฬ!M296"")"),99645)</f>
        <v>99645</v>
      </c>
      <c r="O401" s="373">
        <f ca="1">+IF(L401&gt;0,N401*100/L401,0)</f>
        <v>68.92985611510791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IFERROR(__xludf.DUMMYFUNCTION("IMPORTRANGE(""https://docs.google.com/spreadsheets/d/1XL5vhW3sbDhbH9Cz0tuDiY8C3ctxq1tqvaCgkFb8cCA/edit?usp=sharing"",""บึงกาฬ!J297"")"),30)</f>
        <v>30</v>
      </c>
      <c r="K402" s="372">
        <f t="shared" ca="1" si="111"/>
        <v>75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IFERROR(__xludf.DUMMYFUNCTION("IMPORTRANGE(""https://docs.google.com/spreadsheets/d/1XL5vhW3sbDhbH9Cz0tuDiY8C3ctxq1tqvaCgkFb8cCA/edit?usp=sharing"",""บึงกาฬ!M299"")"),99645)</f>
        <v>99645</v>
      </c>
      <c r="O404" s="169">
        <f t="shared" ca="1" si="112"/>
        <v>68.92985611510791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IFERROR(__xludf.DUMMYFUNCTION("IMPORTRANGE(""https://docs.google.com/spreadsheets/d/1XL5vhW3sbDhbH9Cz0tuDiY8C3ctxq1tqvaCgkFb8cCA/edit?usp=sharing"",""บึงกาฬ!M301"")"),99645)</f>
        <v>99645</v>
      </c>
      <c r="O406" s="169">
        <f t="shared" ca="1" si="112"/>
        <v>68.92985611510791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IFERROR(__xludf.DUMMYFUNCTION("IMPORTRANGE(""https://docs.google.com/spreadsheets/d/1XL5vhW3sbDhbH9Cz0tuDiY8C3ctxq1tqvaCgkFb8cCA/edit?usp=sharing"",""บึงกาฬ!M302"")"),99645)</f>
        <v>99645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IFERROR(__xludf.DUMMYFUNCTION("IMPORTRANGE(""https://docs.google.com/spreadsheets/d/1XL5vhW3sbDhbH9Cz0tuDiY8C3ctxq1tqvaCgkFb8cCA/edit?usp=sharing"",""บึงกาฬ!J311"")"),30)</f>
        <v>30</v>
      </c>
      <c r="K416" s="202">
        <f t="shared" ref="K416:K432" ca="1" si="113">IF(I416&gt;0,J416*100/I416,0)</f>
        <v>75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IFERROR(__xludf.DUMMYFUNCTION("IMPORTRANGE(""https://docs.google.com/spreadsheets/d/1XL5vhW3sbDhbH9Cz0tuDiY8C3ctxq1tqvaCgkFb8cCA/edit?usp=sharing"",""บึงกาฬ!J329"")"),0)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IFERROR(__xludf.DUMMYFUNCTION("IMPORTRANGE(""https://docs.google.com/spreadsheets/d/1XL5vhW3sbDhbH9Cz0tuDiY8C3ctxq1tqvaCgkFb8cCA/edit?usp=sharing"",""บึงกาฬ!M330"")"),99075)</f>
        <v>99075</v>
      </c>
      <c r="O435" s="412">
        <f t="shared" ref="O435:O439" ca="1" si="114">+IF(L435&gt;0,N435*100/L435,0)</f>
        <v>89.660633484162901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IFERROR(__xludf.DUMMYFUNCTION("IMPORTRANGE(""https://docs.google.com/spreadsheets/d/1XL5vhW3sbDhbH9Cz0tuDiY8C3ctxq1tqvaCgkFb8cCA/edit?usp=sharing"",""บึงกาฬ!M332"")"),99075)</f>
        <v>99075</v>
      </c>
      <c r="O437" s="169">
        <f t="shared" ca="1" si="114"/>
        <v>89.660633484162901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IFERROR(__xludf.DUMMYFUNCTION("IMPORTRANGE(""https://docs.google.com/spreadsheets/d/1XL5vhW3sbDhbH9Cz0tuDiY8C3ctxq1tqvaCgkFb8cCA/edit?usp=sharing"",""บึงกาฬ!M334"")"),99075)</f>
        <v>99075</v>
      </c>
      <c r="O439" s="169">
        <f t="shared" ca="1" si="114"/>
        <v>89.660633484162901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IFERROR(__xludf.DUMMYFUNCTION("IMPORTRANGE(""https://docs.google.com/spreadsheets/d/1XL5vhW3sbDhbH9Cz0tuDiY8C3ctxq1tqvaCgkFb8cCA/edit?usp=sharing"",""บึงกาฬ!J349"")"),0)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IFERROR(__xludf.DUMMYFUNCTION("IMPORTRANGE(""https://docs.google.com/spreadsheets/d/1XL5vhW3sbDhbH9Cz0tuDiY8C3ctxq1tqvaCgkFb8cCA/edit?usp=sharing"",""บึงกาฬ!J350"")"),38688)</f>
        <v>38688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IFERROR(__xludf.DUMMYFUNCTION("IMPORTRANGE(""https://docs.google.com/spreadsheets/d/1XL5vhW3sbDhbH9Cz0tuDiY8C3ctxq1tqvaCgkFb8cCA/edit?usp=sharing"",""บึงกาฬ!L350"")"),363245)</f>
        <v>363245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7.952208564467508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IFERROR(__xludf.DUMMYFUNCTION("IMPORTRANGE(""https://docs.google.com/spreadsheets/d/1XL5vhW3sbDhbH9Cz0tuDiY8C3ctxq1tqvaCgkFb8cCA/edit?usp=sharing"",""บึงกาฬ!L352"")"),363245)</f>
        <v>363245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7.952208564467508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IFERROR(__xludf.DUMMYFUNCTION("IMPORTRANGE(""https://docs.google.com/spreadsheets/d/1XL5vhW3sbDhbH9Cz0tuDiY8C3ctxq1tqvaCgkFb8cCA/edit?usp=sharing"",""บึงกาฬ!L354"")"),363245)</f>
        <v>363245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7.952208564467508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IFERROR(__xludf.DUMMYFUNCTION("IMPORTRANGE(""https://docs.google.com/spreadsheets/d/1XL5vhW3sbDhbH9Cz0tuDiY8C3ctxq1tqvaCgkFb8cCA/edit?usp=sharing"",""บึงกาฬ!I359"")"),38688)</f>
        <v>38688</v>
      </c>
      <c r="J464" s="267">
        <f ca="1">IFERROR(__xludf.DUMMYFUNCTION("IMPORTRANGE(""https://docs.google.com/spreadsheets/d/1XL5vhW3sbDhbH9Cz0tuDiY8C3ctxq1tqvaCgkFb8cCA/edit?usp=sharing"",""บึงกาฬ!J359"")"),38688)</f>
        <v>38688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IFERROR(__xludf.DUMMYFUNCTION("IMPORTRANGE(""https://docs.google.com/spreadsheets/d/1XL5vhW3sbDhbH9Cz0tuDiY8C3ctxq1tqvaCgkFb8cCA/edit?usp=sharing"",""บึงกาฬ!J376"")"),38688)</f>
        <v>38688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IFERROR(__xludf.DUMMYFUNCTION("IMPORTRANGE(""https://docs.google.com/spreadsheets/d/1XL5vhW3sbDhbH9Cz0tuDiY8C3ctxq1tqvaCgkFb8cCA/edit?usp=sharing"",""บึงกาฬ!J377"")"),2619)</f>
        <v>2619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IFERROR(__xludf.DUMMYFUNCTION("IMPORTRANGE(""https://docs.google.com/spreadsheets/d/1XL5vhW3sbDhbH9Cz0tuDiY8C3ctxq1tqvaCgkFb8cCA/edit?usp=sharing"",""บึงกาฬ!J378"")"),35707)</f>
        <v>35707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IFERROR(__xludf.DUMMYFUNCTION("IMPORTRANGE(""https://docs.google.com/spreadsheets/d/1XL5vhW3sbDhbH9Cz0tuDiY8C3ctxq1tqvaCgkFb8cCA/edit?usp=sharing"",""บึงกาฬ!J379"")"),2433)</f>
        <v>2433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IFERROR(__xludf.DUMMYFUNCTION("IMPORTRANGE(""https://docs.google.com/spreadsheets/d/1XL5vhW3sbDhbH9Cz0tuDiY8C3ctxq1tqvaCgkFb8cCA/edit?usp=sharing"",""บึงกาฬ!J380"")"),2756)</f>
        <v>2756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IFERROR(__xludf.DUMMYFUNCTION("IMPORTRANGE(""https://docs.google.com/spreadsheets/d/1XL5vhW3sbDhbH9Cz0tuDiY8C3ctxq1tqvaCgkFb8cCA/edit?usp=sharing"",""บึงกาฬ!J381"")"),171)</f>
        <v>171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IFERROR(__xludf.DUMMYFUNCTION("IMPORTRANGE(""https://docs.google.com/spreadsheets/d/1XL5vhW3sbDhbH9Cz0tuDiY8C3ctxq1tqvaCgkFb8cCA/edit?usp=sharing"",""บึงกาฬ!J382"")"),225)</f>
        <v>225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IFERROR(__xludf.DUMMYFUNCTION("IMPORTRANGE(""https://docs.google.com/spreadsheets/d/1XL5vhW3sbDhbH9Cz0tuDiY8C3ctxq1tqvaCgkFb8cCA/edit?usp=sharing"",""บึงกาฬ!J384"")"),225)</f>
        <v>225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IFERROR(__xludf.DUMMYFUNCTION("IMPORTRANGE(""https://docs.google.com/spreadsheets/d/1XL5vhW3sbDhbH9Cz0tuDiY8C3ctxq1tqvaCgkFb8cCA/edit?usp=sharing"",""บึงกาฬ!J392"")"),2297)</f>
        <v>2297</v>
      </c>
      <c r="K497" s="444">
        <f t="shared" ca="1" si="117"/>
        <v>37.532679738562095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IFERROR(__xludf.DUMMYFUNCTION("IMPORTRANGE(""https://docs.google.com/spreadsheets/d/1XL5vhW3sbDhbH9Cz0tuDiY8C3ctxq1tqvaCgkFb8cCA/edit?usp=sharing"",""บึงกาฬ!J393"")"),2297)</f>
        <v>2297</v>
      </c>
      <c r="K498" s="202">
        <f t="shared" ca="1" si="117"/>
        <v>37.532679738562095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IFERROR(__xludf.DUMMYFUNCTION("IMPORTRANGE(""https://docs.google.com/spreadsheets/d/1XL5vhW3sbDhbH9Cz0tuDiY8C3ctxq1tqvaCgkFb8cCA/edit?usp=sharing"",""บึงกาฬ!J394"")"),166)</f>
        <v>166</v>
      </c>
      <c r="K499" s="202">
        <f t="shared" ca="1" si="117"/>
        <v>39.33649289099526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IFERROR(__xludf.DUMMYFUNCTION("IMPORTRANGE(""https://docs.google.com/spreadsheets/d/1XL5vhW3sbDhbH9Cz0tuDiY8C3ctxq1tqvaCgkFb8cCA/edit?usp=sharing"",""บึงกาฬ!J395"")"),2296)</f>
        <v>2296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IFERROR(__xludf.DUMMYFUNCTION("IMPORTRANGE(""https://docs.google.com/spreadsheets/d/1XL5vhW3sbDhbH9Cz0tuDiY8C3ctxq1tqvaCgkFb8cCA/edit?usp=sharing"",""บึงกาฬ!J396"")"),165)</f>
        <v>165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IFERROR(__xludf.DUMMYFUNCTION("IMPORTRANGE(""https://docs.google.com/spreadsheets/d/1XL5vhW3sbDhbH9Cz0tuDiY8C3ctxq1tqvaCgkFb8cCA/edit?usp=sharing"",""บึงกาฬ!J397"")"),2296)</f>
        <v>2296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IFERROR(__xludf.DUMMYFUNCTION("IMPORTRANGE(""https://docs.google.com/spreadsheets/d/1XL5vhW3sbDhbH9Cz0tuDiY8C3ctxq1tqvaCgkFb8cCA/edit?usp=sharing"",""บึงกาฬ!J398"")"),165)</f>
        <v>165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IFERROR(__xludf.DUMMYFUNCTION("IMPORTRANGE(""https://docs.google.com/spreadsheets/d/1XL5vhW3sbDhbH9Cz0tuDiY8C3ctxq1tqvaCgkFb8cCA/edit?usp=sharing"",""บึงกาฬ!I411"")"),0)</f>
        <v>0</v>
      </c>
      <c r="J516" s="267">
        <f ca="1">IFERROR(__xludf.DUMMYFUNCTION("IMPORTRANGE(""https://docs.google.com/spreadsheets/d/1XL5vhW3sbDhbH9Cz0tuDiY8C3ctxq1tqvaCgkFb8cCA/edit?usp=sharing"",""บึงกาฬ!J411"")"),0)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IFERROR(__xludf.DUMMYFUNCTION("IMPORTRANGE(""https://docs.google.com/spreadsheets/d/1XL5vhW3sbDhbH9Cz0tuDiY8C3ctxq1tqvaCgkFb8cCA/edit?usp=sharing"",""บึงกาฬ!I412"")"),0)</f>
        <v>0</v>
      </c>
      <c r="J517" s="284">
        <f ca="1">IFERROR(__xludf.DUMMYFUNCTION("IMPORTRANGE(""https://docs.google.com/spreadsheets/d/1XL5vhW3sbDhbH9Cz0tuDiY8C3ctxq1tqvaCgkFb8cCA/edit?usp=sharing"",""บึงกาฬ!J412"")"),0)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IFERROR(__xludf.DUMMYFUNCTION("IMPORTRANGE(""https://docs.google.com/spreadsheets/d/1XL5vhW3sbDhbH9Cz0tuDiY8C3ctxq1tqvaCgkFb8cCA/edit?usp=sharing"",""บึงกาฬ!I413"")"),0)</f>
        <v>0</v>
      </c>
      <c r="J518" s="284">
        <f ca="1">IFERROR(__xludf.DUMMYFUNCTION("IMPORTRANGE(""https://docs.google.com/spreadsheets/d/1XL5vhW3sbDhbH9Cz0tuDiY8C3ctxq1tqvaCgkFb8cCA/edit?usp=sharing"",""บึงกาฬ!J413"")"),0)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IFERROR(__xludf.DUMMYFUNCTION("IMPORTRANGE(""https://docs.google.com/spreadsheets/d/1XL5vhW3sbDhbH9Cz0tuDiY8C3ctxq1tqvaCgkFb8cCA/edit?usp=sharing"",""บึงกาฬ!I420"")"),625)</f>
        <v>625</v>
      </c>
      <c r="J525" s="284">
        <f ca="1">IFERROR(__xludf.DUMMYFUNCTION("IMPORTRANGE(""https://docs.google.com/spreadsheets/d/1XL5vhW3sbDhbH9Cz0tuDiY8C3ctxq1tqvaCgkFb8cCA/edit?usp=sharing"",""บึงกาฬ!J420"")"),0)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IFERROR(__xludf.DUMMYFUNCTION("IMPORTRANGE(""https://docs.google.com/spreadsheets/d/1XL5vhW3sbDhbH9Cz0tuDiY8C3ctxq1tqvaCgkFb8cCA/edit?usp=sharing"",""บึงกาฬ!I421"")"),20)</f>
        <v>20</v>
      </c>
      <c r="J526" s="284">
        <f ca="1">IFERROR(__xludf.DUMMYFUNCTION("IMPORTRANGE(""https://docs.google.com/spreadsheets/d/1XL5vhW3sbDhbH9Cz0tuDiY8C3ctxq1tqvaCgkFb8cCA/edit?usp=sharing"",""บึงกาฬ!J421"")"),0)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IFERROR(__xludf.DUMMYFUNCTION("IMPORTRANGE(""https://docs.google.com/spreadsheets/d/1XL5vhW3sbDhbH9Cz0tuDiY8C3ctxq1tqvaCgkFb8cCA/edit?usp=sharing"",""บึงกาฬ!M428"")"),34512)</f>
        <v>34512</v>
      </c>
      <c r="O533" s="412">
        <f t="shared" ref="O533:O537" ca="1" si="118">+IF(L533&gt;0,N533*100/L533,0)</f>
        <v>83.889158969372872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IFERROR(__xludf.DUMMYFUNCTION("IMPORTRANGE(""https://docs.google.com/spreadsheets/d/1XL5vhW3sbDhbH9Cz0tuDiY8C3ctxq1tqvaCgkFb8cCA/edit?usp=sharing"",""บึงกาฬ!L430"")"),41140)</f>
        <v>41140</v>
      </c>
      <c r="M535" s="165"/>
      <c r="N535" s="169">
        <f ca="1">IFERROR(__xludf.DUMMYFUNCTION("IMPORTRANGE(""https://docs.google.com/spreadsheets/d/1XL5vhW3sbDhbH9Cz0tuDiY8C3ctxq1tqvaCgkFb8cCA/edit?usp=sharing"",""บึงกาฬ!M430"")"),34512)</f>
        <v>34512</v>
      </c>
      <c r="O535" s="169">
        <f t="shared" ca="1" si="118"/>
        <v>83.889158969372872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IFERROR(__xludf.DUMMYFUNCTION("IMPORTRANGE(""https://docs.google.com/spreadsheets/d/1XL5vhW3sbDhbH9Cz0tuDiY8C3ctxq1tqvaCgkFb8cCA/edit?usp=sharing"",""บึงกาฬ!L432"")"),41140)</f>
        <v>41140</v>
      </c>
      <c r="M537" s="169"/>
      <c r="N537" s="169">
        <f ca="1">IFERROR(__xludf.DUMMYFUNCTION("IMPORTRANGE(""https://docs.google.com/spreadsheets/d/1XL5vhW3sbDhbH9Cz0tuDiY8C3ctxq1tqvaCgkFb8cCA/edit?usp=sharing"",""บึงกาฬ!M432"")"),34512)</f>
        <v>34512</v>
      </c>
      <c r="O537" s="169">
        <f t="shared" ca="1" si="118"/>
        <v>83.889158969372872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IFERROR(__xludf.DUMMYFUNCTION("IMPORTRANGE(""https://docs.google.com/spreadsheets/d/1XL5vhW3sbDhbH9Cz0tuDiY8C3ctxq1tqvaCgkFb8cCA/edit?usp=sharing"",""บึงกาฬ!M433"")"),25540)</f>
        <v>25540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IFERROR(__xludf.DUMMYFUNCTION("IMPORTRANGE(""https://docs.google.com/spreadsheets/d/1XL5vhW3sbDhbH9Cz0tuDiY8C3ctxq1tqvaCgkFb8cCA/edit?usp=sharing"",""บึงกาฬ!M436"")"),8972)</f>
        <v>8972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IFERROR(__xludf.DUMMYFUNCTION("IMPORTRANGE(""https://docs.google.com/spreadsheets/d/1XL5vhW3sbDhbH9Cz0tuDiY8C3ctxq1tqvaCgkFb8cCA/edit?usp=sharing"",""บึงกาฬ!J446"")"),1991)</f>
        <v>1991</v>
      </c>
      <c r="K551" s="411">
        <f ca="1">IF(I551&gt;0,J551*100/I551,0)</f>
        <v>39.82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IFERROR(__xludf.DUMMYFUNCTION("IMPORTRANGE(""https://docs.google.com/spreadsheets/d/1XL5vhW3sbDhbH9Cz0tuDiY8C3ctxq1tqvaCgkFb8cCA/edit?usp=sharing"",""บึงกาฬ!M446"")"),287909)</f>
        <v>287909</v>
      </c>
      <c r="O551" s="412">
        <f t="shared" ref="O551:O555" ca="1" si="120">+IF(L551&gt;0,N551*100/L551,0)</f>
        <v>89.971562500000005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IFERROR(__xludf.DUMMYFUNCTION("IMPORTRANGE(""https://docs.google.com/spreadsheets/d/1XL5vhW3sbDhbH9Cz0tuDiY8C3ctxq1tqvaCgkFb8cCA/edit?usp=sharing"",""บึงกาฬ!M448"")"),287909)</f>
        <v>287909</v>
      </c>
      <c r="O553" s="169">
        <f t="shared" ca="1" si="120"/>
        <v>89.971562500000005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IFERROR(__xludf.DUMMYFUNCTION("IMPORTRANGE(""https://docs.google.com/spreadsheets/d/1XL5vhW3sbDhbH9Cz0tuDiY8C3ctxq1tqvaCgkFb8cCA/edit?usp=sharing"",""บึงกาฬ!M450"")"),287909)</f>
        <v>287909</v>
      </c>
      <c r="O555" s="169">
        <f t="shared" ca="1" si="120"/>
        <v>89.971562500000005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IFERROR(__xludf.DUMMYFUNCTION("IMPORTRANGE(""https://docs.google.com/spreadsheets/d/1XL5vhW3sbDhbH9Cz0tuDiY8C3ctxq1tqvaCgkFb8cCA/edit?usp=sharing"",""บึงกาฬ!M454"")"),287909)</f>
        <v>287909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IFERROR(__xludf.DUMMYFUNCTION("IMPORTRANGE(""https://docs.google.com/spreadsheets/d/1XL5vhW3sbDhbH9Cz0tuDiY8C3ctxq1tqvaCgkFb8cCA/edit?usp=sharing"",""บึงกาฬ!J455"")"),1991)</f>
        <v>1991</v>
      </c>
      <c r="K560" s="224">
        <f t="shared" ref="K560:K561" ca="1" si="121">IF(I560&gt;0,J560*100/I560,0)</f>
        <v>39.82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IFERROR(__xludf.DUMMYFUNCTION("IMPORTRANGE(""https://docs.google.com/spreadsheets/d/1XL5vhW3sbDhbH9Cz0tuDiY8C3ctxq1tqvaCgkFb8cCA/edit?usp=sharing"",""บึงกาฬ!J456"")"),136)</f>
        <v>136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IFERROR(__xludf.DUMMYFUNCTION("IMPORTRANGE(""https://docs.google.com/spreadsheets/d/1XL5vhW3sbDhbH9Cz0tuDiY8C3ctxq1tqvaCgkFb8cCA/edit?usp=sharing"",""บึงกาฬ!J459"")"),3119)</f>
        <v>3119</v>
      </c>
      <c r="K564" s="372">
        <f ca="1">IF(I564&gt;0,J564*100/I564,0)</f>
        <v>89.114285714285714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IFERROR(__xludf.DUMMYFUNCTION("IMPORTRANGE(""https://docs.google.com/spreadsheets/d/1XL5vhW3sbDhbH9Cz0tuDiY8C3ctxq1tqvaCgkFb8cCA/edit?usp=sharing"",""บึงกาฬ!M459"")"),75128)</f>
        <v>75128</v>
      </c>
      <c r="O564" s="373">
        <f t="shared" ref="O564:O568" ca="1" si="122">+IF(L564&gt;0,N564*100/L564,0)</f>
        <v>46.954999999999998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IFERROR(__xludf.DUMMYFUNCTION("IMPORTRANGE(""https://docs.google.com/spreadsheets/d/1XL5vhW3sbDhbH9Cz0tuDiY8C3ctxq1tqvaCgkFb8cCA/edit?usp=sharing"",""บึงกาฬ!M461"")"),75128)</f>
        <v>75128</v>
      </c>
      <c r="O566" s="169">
        <f t="shared" ca="1" si="122"/>
        <v>46.954999999999998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IFERROR(__xludf.DUMMYFUNCTION("IMPORTRANGE(""https://docs.google.com/spreadsheets/d/1XL5vhW3sbDhbH9Cz0tuDiY8C3ctxq1tqvaCgkFb8cCA/edit?usp=sharing"",""บึงกาฬ!M463"")"),75128)</f>
        <v>75128</v>
      </c>
      <c r="O568" s="169">
        <f t="shared" ca="1" si="122"/>
        <v>46.954999999999998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IFERROR(__xludf.DUMMYFUNCTION("IMPORTRANGE(""https://docs.google.com/spreadsheets/d/1XL5vhW3sbDhbH9Cz0tuDiY8C3ctxq1tqvaCgkFb8cCA/edit?usp=sharing"",""บึงกาฬ!M466"")"),54278)</f>
        <v>54278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IFERROR(__xludf.DUMMYFUNCTION("IMPORTRANGE(""https://docs.google.com/spreadsheets/d/1XL5vhW3sbDhbH9Cz0tuDiY8C3ctxq1tqvaCgkFb8cCA/edit?usp=sharing"",""บึงกาฬ!M467"")"),20850)</f>
        <v>20850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IFERROR(__xludf.DUMMYFUNCTION("IMPORTRANGE(""https://docs.google.com/spreadsheets/d/1XL5vhW3sbDhbH9Cz0tuDiY8C3ctxq1tqvaCgkFb8cCA/edit?usp=sharing"",""บึงกาฬ!J468"")"),3119)</f>
        <v>3119</v>
      </c>
      <c r="K573" s="202">
        <f ca="1">IF(I573&gt;0,J573*100/I573,0)</f>
        <v>89.114285714285714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IFERROR(__xludf.DUMMYFUNCTION("IMPORTRANGE(""https://docs.google.com/spreadsheets/d/1XL5vhW3sbDhbH9Cz0tuDiY8C3ctxq1tqvaCgkFb8cCA/edit?usp=sharing"",""บึงกาฬ!J471"")"),363)</f>
        <v>363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IFERROR(__xludf.DUMMYFUNCTION("IMPORTRANGE(""https://docs.google.com/spreadsheets/d/1XL5vhW3sbDhbH9Cz0tuDiY8C3ctxq1tqvaCgkFb8cCA/edit?usp=sharing"",""บึงกาฬ!J472"")"),2756)</f>
        <v>2756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IFERROR(__xludf.DUMMYFUNCTION("IMPORTRANGE(""https://docs.google.com/spreadsheets/d/1XL5vhW3sbDhbH9Cz0tuDiY8C3ctxq1tqvaCgkFb8cCA/edit?usp=sharing"",""บึงกาฬ!J475"")"),4)</f>
        <v>4</v>
      </c>
      <c r="K580" s="372">
        <f ca="1">IF(I580&gt;0,J580*100/I580,0)</f>
        <v>8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IFERROR(__xludf.DUMMYFUNCTION("IMPORTRANGE(""https://docs.google.com/spreadsheets/d/1XL5vhW3sbDhbH9Cz0tuDiY8C3ctxq1tqvaCgkFb8cCA/edit?usp=sharing"",""บึงกาฬ!J484"")"),13)</f>
        <v>13</v>
      </c>
      <c r="K589" s="163">
        <f t="shared" ref="K589:K596" ca="1" si="125">IF(I589&gt;0,J589*100/I589,0)</f>
        <v>26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IFERROR(__xludf.DUMMYFUNCTION("IMPORTRANGE(""https://docs.google.com/spreadsheets/d/1XL5vhW3sbDhbH9Cz0tuDiY8C3ctxq1tqvaCgkFb8cCA/edit?usp=sharing"",""บึงกาฬ!J485"")"),132.68)</f>
        <v>132.68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IFERROR(__xludf.DUMMYFUNCTION("IMPORTRANGE(""https://docs.google.com/spreadsheets/d/1XL5vhW3sbDhbH9Cz0tuDiY8C3ctxq1tqvaCgkFb8cCA/edit?usp=sharing"",""บึงกาฬ!J486"")"),14)</f>
        <v>14</v>
      </c>
      <c r="K591" s="163">
        <f t="shared" ca="1" si="125"/>
        <v>28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IFERROR(__xludf.DUMMYFUNCTION("IMPORTRANGE(""https://docs.google.com/spreadsheets/d/1XL5vhW3sbDhbH9Cz0tuDiY8C3ctxq1tqvaCgkFb8cCA/edit?usp=sharing"",""บึงกาฬ!J487"")"),41.99)</f>
        <v>41.99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IFERROR(__xludf.DUMMYFUNCTION("IMPORTRANGE(""https://docs.google.com/spreadsheets/d/1XL5vhW3sbDhbH9Cz0tuDiY8C3ctxq1tqvaCgkFb8cCA/edit?usp=sharing"",""บึงกาฬ!J488"")"),4)</f>
        <v>4</v>
      </c>
      <c r="K593" s="163">
        <f t="shared" ca="1" si="125"/>
        <v>8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IFERROR(__xludf.DUMMYFUNCTION("IMPORTRANGE(""https://docs.google.com/spreadsheets/d/1XL5vhW3sbDhbH9Cz0tuDiY8C3ctxq1tqvaCgkFb8cCA/edit?usp=sharing"",""บึงกาฬ!J489"")"),21.56)</f>
        <v>21.56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IFERROR(__xludf.DUMMYFUNCTION("IMPORTRANGE(""https://docs.google.com/spreadsheets/d/1XL5vhW3sbDhbH9Cz0tuDiY8C3ctxq1tqvaCgkFb8cCA/edit?usp=sharing"",""บึงกาฬ!J490"")"),4)</f>
        <v>4</v>
      </c>
      <c r="K595" s="163">
        <f t="shared" ca="1" si="125"/>
        <v>8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IFERROR(__xludf.DUMMYFUNCTION("IMPORTRANGE(""https://docs.google.com/spreadsheets/d/1XL5vhW3sbDhbH9Cz0tuDiY8C3ctxq1tqvaCgkFb8cCA/edit?usp=sharing"",""บึงกาฬ!I491"")"),0)</f>
        <v>0</v>
      </c>
      <c r="J596" s="241">
        <f ca="1">IFERROR(__xludf.DUMMYFUNCTION("IMPORTRANGE(""https://docs.google.com/spreadsheets/d/1XL5vhW3sbDhbH9Cz0tuDiY8C3ctxq1tqvaCgkFb8cCA/edit?usp=sharing"",""บึงกาฬ!J491"")"),2.71)</f>
        <v>2.71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7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IFERROR(__xludf.DUMMYFUNCTION("IMPORTRANGE(""https://docs.google.com/spreadsheets/d/1XL5vhW3sbDhbH9Cz0tuDiY8C3ctxq1tqvaCgkFb8cCA/edit?usp=sharing"",""บึงกาฬ!L492"")"),5350)</f>
        <v>5350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IFERROR(__xludf.DUMMYFUNCTION("IMPORTRANGE(""https://docs.google.com/spreadsheets/d/1XL5vhW3sbDhbH9Cz0tuDiY8C3ctxq1tqvaCgkFb8cCA/edit?usp=sharing"",""บึงกาฬ!L494"")"),5350)</f>
        <v>5350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IFERROR(__xludf.DUMMYFUNCTION("IMPORTRANGE(""https://docs.google.com/spreadsheets/d/1XL5vhW3sbDhbH9Cz0tuDiY8C3ctxq1tqvaCgkFb8cCA/edit?usp=sharing"",""บึงกาฬ!L496"")"),5350)</f>
        <v>5350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IFERROR(__xludf.DUMMYFUNCTION("IMPORTRANGE(""https://docs.google.com/spreadsheets/d/1XL5vhW3sbDhbH9Cz0tuDiY8C3ctxq1tqvaCgkFb8cCA/edit?usp=sharing"",""บึงกาฬ!J166"")"),0)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IFERROR(__xludf.DUMMYFUNCTION("IMPORTRANGE(""https://docs.google.com/spreadsheets/d/1XL5vhW3sbDhbH9Cz0tuDiY8C3ctxq1tqvaCgkFb8cCA/edit?usp=sharing"",""บึงกาฬ!J166"")"),0)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1">
        <f ca="1">IFERROR(__xludf.DUMMYFUNCTION("IMPORTRANGE(""https://docs.google.com/spreadsheets/d/1XL5vhW3sbDhbH9Cz0tuDiY8C3ctxq1tqvaCgkFb8cCA/edit?usp=sharing"",""บึงกาฬ!J523"")"),1148536.44)</f>
        <v>1148536.44</v>
      </c>
      <c r="K628" s="342">
        <f t="shared" ref="K628:K635" ca="1" si="129">IF(I628&gt;0,J628*100/I628,0)</f>
        <v>26.548933284067225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IFERROR(__xludf.DUMMYFUNCTION("IMPORTRANGE(""https://docs.google.com/spreadsheets/d/1XL5vhW3sbDhbH9Cz0tuDiY8C3ctxq1tqvaCgkFb8cCA/edit?usp=sharing"",""บึงกาฬ!I524"")"),284)</f>
        <v>284</v>
      </c>
      <c r="J629" s="341">
        <f ca="1">IFERROR(__xludf.DUMMYFUNCTION("IMPORTRANGE(""https://docs.google.com/spreadsheets/d/1XL5vhW3sbDhbH9Cz0tuDiY8C3ctxq1tqvaCgkFb8cCA/edit?usp=sharing"",""บึงกาฬ!J524"")"),70)</f>
        <v>70</v>
      </c>
      <c r="K629" s="342">
        <f t="shared" ca="1" si="129"/>
        <v>24.64788732394366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IFERROR(__xludf.DUMMYFUNCTION("IMPORTRANGE(""https://docs.google.com/spreadsheets/d/1XL5vhW3sbDhbH9Cz0tuDiY8C3ctxq1tqvaCgkFb8cCA/edit?usp=sharing"",""บึงกาฬ!I525"")"),1444097.44)</f>
        <v>1444097.44</v>
      </c>
      <c r="J630" s="341">
        <f ca="1">IFERROR(__xludf.DUMMYFUNCTION("IMPORTRANGE(""https://docs.google.com/spreadsheets/d/1XL5vhW3sbDhbH9Cz0tuDiY8C3ctxq1tqvaCgkFb8cCA/edit?usp=sharing"",""บึงกาฬ!J525"")"),467882.16)</f>
        <v>467882.16</v>
      </c>
      <c r="K630" s="342">
        <f t="shared" ca="1" si="129"/>
        <v>32.399625332761481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IFERROR(__xludf.DUMMYFUNCTION("IMPORTRANGE(""https://docs.google.com/spreadsheets/d/1XL5vhW3sbDhbH9Cz0tuDiY8C3ctxq1tqvaCgkFb8cCA/edit?usp=sharing"",""บึงกาฬ!I526"")"),67)</f>
        <v>67</v>
      </c>
      <c r="J631" s="341">
        <f ca="1">IFERROR(__xludf.DUMMYFUNCTION("IMPORTRANGE(""https://docs.google.com/spreadsheets/d/1XL5vhW3sbDhbH9Cz0tuDiY8C3ctxq1tqvaCgkFb8cCA/edit?usp=sharing"",""บึงกาฬ!J526"")"),53)</f>
        <v>53</v>
      </c>
      <c r="K631" s="342">
        <f t="shared" ca="1" si="129"/>
        <v>79.104477611940297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IFERROR(__xludf.DUMMYFUNCTION("IMPORTRANGE(""https://docs.google.com/spreadsheets/d/1XL5vhW3sbDhbH9Cz0tuDiY8C3ctxq1tqvaCgkFb8cCA/edit?usp=sharing"",""บึงกาฬ!I527"")"),5947.5)</f>
        <v>5947.5</v>
      </c>
      <c r="J632" s="341">
        <f ca="1">IFERROR(__xludf.DUMMYFUNCTION("IMPORTRANGE(""https://docs.google.com/spreadsheets/d/1XL5vhW3sbDhbH9Cz0tuDiY8C3ctxq1tqvaCgkFb8cCA/edit?usp=sharing"",""บึงกาฬ!J527"")"),5947.5)</f>
        <v>5947.5</v>
      </c>
      <c r="K632" s="342">
        <f t="shared" ca="1" si="129"/>
        <v>100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IFERROR(__xludf.DUMMYFUNCTION("IMPORTRANGE(""https://docs.google.com/spreadsheets/d/1XL5vhW3sbDhbH9Cz0tuDiY8C3ctxq1tqvaCgkFb8cCA/edit?usp=sharing"",""บึงกาฬ!I528"")"),2)</f>
        <v>2</v>
      </c>
      <c r="J633" s="341">
        <f ca="1">IFERROR(__xludf.DUMMYFUNCTION("IMPORTRANGE(""https://docs.google.com/spreadsheets/d/1XL5vhW3sbDhbH9Cz0tuDiY8C3ctxq1tqvaCgkFb8cCA/edit?usp=sharing"",""บึงกาฬ!J528"")"),2)</f>
        <v>2</v>
      </c>
      <c r="K633" s="342">
        <f t="shared" ca="1" si="129"/>
        <v>100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IFERROR(__xludf.DUMMYFUNCTION("IMPORTRANGE(""https://docs.google.com/spreadsheets/d/1XL5vhW3sbDhbH9Cz0tuDiY8C3ctxq1tqvaCgkFb8cCA/edit?usp=sharing"",""บึงกาฬ!I529"")"),2400000)</f>
        <v>2400000</v>
      </c>
      <c r="J634" s="341">
        <f ca="1">IFERROR(__xludf.DUMMYFUNCTION("IMPORTRANGE(""https://docs.google.com/spreadsheets/d/1XL5vhW3sbDhbH9Cz0tuDiY8C3ctxq1tqvaCgkFb8cCA/edit?usp=sharing"",""บึงกาฬ!J529"")"),2400000)</f>
        <v>2400000</v>
      </c>
      <c r="K634" s="342">
        <f t="shared" ca="1" si="129"/>
        <v>100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IFERROR(__xludf.DUMMYFUNCTION("IMPORTRANGE(""https://docs.google.com/spreadsheets/d/1XL5vhW3sbDhbH9Cz0tuDiY8C3ctxq1tqvaCgkFb8cCA/edit?usp=sharing"",""บึงกาฬ!I530"")"),60)</f>
        <v>60</v>
      </c>
      <c r="J635" s="504">
        <f ca="1">IFERROR(__xludf.DUMMYFUNCTION("IMPORTRANGE(""https://docs.google.com/spreadsheets/d/1XL5vhW3sbDhbH9Cz0tuDiY8C3ctxq1tqvaCgkFb8cCA/edit?usp=sharing"",""บึงกาฬ!J530"")"),49)</f>
        <v>49</v>
      </c>
      <c r="K635" s="486">
        <f t="shared" ca="1" si="129"/>
        <v>81.666666666666671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IFERROR(__xludf.DUMMYFUNCTION("IMPORTRANGE(""https://docs.google.com/spreadsheets/d/1XL5vhW3sbDhbH9Cz0tuDiY8C3ctxq1tqvaCgkFb8cCA/edit#gid=346597447"",""บึงกาฬ!J541"")"),0)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IFERROR(__xludf.DUMMYFUNCTION("IMPORTRANGE(""https://docs.google.com/spreadsheets/d/1XL5vhW3sbDhbH9Cz0tuDiY8C3ctxq1tqvaCgkFb8cCA/edit#gid=346597447"",""บึงกาฬ!J542"")"),0)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IFERROR(__xludf.DUMMYFUNCTION("IMPORTRANGE(""https://docs.google.com/spreadsheets/d/1XL5vhW3sbDhbH9Cz0tuDiY8C3ctxq1tqvaCgkFb8cCA/edit#gid=346597447"",""บึงกาฬ!I543"")"),0)</f>
        <v>0</v>
      </c>
      <c r="J648" s="585">
        <f ca="1">IFERROR(__xludf.DUMMYFUNCTION("IMPORTRANGE(""https://docs.google.com/spreadsheets/d/1XL5vhW3sbDhbH9Cz0tuDiY8C3ctxq1tqvaCgkFb8cCA/edit#gid=346597447"",""บึงกาฬ!J543"")"),0)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IFERROR(__xludf.DUMMYFUNCTION("IMPORTRANGE(""https://docs.google.com/spreadsheets/d/1XL5vhW3sbDhbH9Cz0tuDiY8C3ctxq1tqvaCgkFb8cCA/edit#gid=346597447"",""บึงกาฬ!L543"")"),0)</f>
        <v>0</v>
      </c>
      <c r="M648" s="570"/>
      <c r="N648" s="587">
        <f ca="1">IFERROR(__xludf.DUMMYFUNCTION("IMPORTRANGE(""https://docs.google.com/spreadsheets/d/1XL5vhW3sbDhbH9Cz0tuDiY8C3ctxq1tqvaCgkFb8cCA/edit#gid=346597447"",""บึงกาฬ!M543"")"),0)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IFERROR(__xludf.DUMMYFUNCTION("IMPORTRANGE(""https://docs.google.com/spreadsheets/d/1XL5vhW3sbDhbH9Cz0tuDiY8C3ctxq1tqvaCgkFb8cCA/edit#gid=346597447"",""บึงกาฬ!I544"")"),0)</f>
        <v>0</v>
      </c>
      <c r="J649" s="585">
        <f ca="1">IFERROR(__xludf.DUMMYFUNCTION("IMPORTRANGE(""https://docs.google.com/spreadsheets/d/1XL5vhW3sbDhbH9Cz0tuDiY8C3ctxq1tqvaCgkFb8cCA/edit#gid=346597447"",""บึงกาฬ!J544"")"),0)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IFERROR(__xludf.DUMMYFUNCTION("IMPORTRANGE(""https://docs.google.com/spreadsheets/d/1XL5vhW3sbDhbH9Cz0tuDiY8C3ctxq1tqvaCgkFb8cCA/edit#gid=346597447"",""บึงกาฬ!L544"")"),0)</f>
        <v>0</v>
      </c>
      <c r="M649" s="570"/>
      <c r="N649" s="587">
        <f ca="1">IFERROR(__xludf.DUMMYFUNCTION("IMPORTRANGE(""https://docs.google.com/spreadsheets/d/1XL5vhW3sbDhbH9Cz0tuDiY8C3ctxq1tqvaCgkFb8cCA/edit#gid=346597447"",""บึงกาฬ!M544"")"),0)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IFERROR(__xludf.DUMMYFUNCTION("IMPORTRANGE(""https://docs.google.com/spreadsheets/d/1XL5vhW3sbDhbH9Cz0tuDiY8C3ctxq1tqvaCgkFb8cCA/edit#gid=346597447"",""บึงกาฬ!I545"")"),0)</f>
        <v>0</v>
      </c>
      <c r="J650" s="585">
        <f ca="1">IFERROR(__xludf.DUMMYFUNCTION("IMPORTRANGE(""https://docs.google.com/spreadsheets/d/1XL5vhW3sbDhbH9Cz0tuDiY8C3ctxq1tqvaCgkFb8cCA/edit#gid=346597447"",""บึงกาฬ!J545"")"),0)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IFERROR(__xludf.DUMMYFUNCTION("IMPORTRANGE(""https://docs.google.com/spreadsheets/d/1XL5vhW3sbDhbH9Cz0tuDiY8C3ctxq1tqvaCgkFb8cCA/edit#gid=346597447"",""บึงกาฬ!L545"")"),0)</f>
        <v>0</v>
      </c>
      <c r="M650" s="570"/>
      <c r="N650" s="587">
        <f ca="1">IFERROR(__xludf.DUMMYFUNCTION("IMPORTRANGE(""https://docs.google.com/spreadsheets/d/1XL5vhW3sbDhbH9Cz0tuDiY8C3ctxq1tqvaCgkFb8cCA/edit#gid=346597447"",""บึงกาฬ!M545"")"),0)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IFERROR(__xludf.DUMMYFUNCTION("IMPORTRANGE(""https://docs.google.com/spreadsheets/d/1XL5vhW3sbDhbH9Cz0tuDiY8C3ctxq1tqvaCgkFb8cCA/edit#gid=346597447"",""บึงกาฬ!I546"")"),0)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IFERROR(__xludf.DUMMYFUNCTION("IMPORTRANGE(""https://docs.google.com/spreadsheets/d/1XL5vhW3sbDhbH9Cz0tuDiY8C3ctxq1tqvaCgkFb8cCA/edit#gid=346597447"",""บึงกาฬ!L546"")"),0)</f>
        <v>0</v>
      </c>
      <c r="M651" s="570"/>
      <c r="N651" s="587">
        <f ca="1">IFERROR(__xludf.DUMMYFUNCTION("IMPORTRANGE(""https://docs.google.com/spreadsheets/d/1XL5vhW3sbDhbH9Cz0tuDiY8C3ctxq1tqvaCgkFb8cCA/edit#gid=346597447"",""บึงกาฬ!M546"")"),0)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IFERROR(__xludf.DUMMYFUNCTION("IMPORTRANGE(""https://docs.google.com/spreadsheets/d/1XL5vhW3sbDhbH9Cz0tuDiY8C3ctxq1tqvaCgkFb8cCA/edit#gid=346597447"",""บึงกาฬ!J547"")"),0)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IFERROR(__xludf.DUMMYFUNCTION("IMPORTRANGE(""https://docs.google.com/spreadsheets/d/1XL5vhW3sbDhbH9Cz0tuDiY8C3ctxq1tqvaCgkFb8cCA/edit#gid=346597447"",""บึงกาฬ!J548"")"),0)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IFERROR(__xludf.DUMMYFUNCTION("IMPORTRANGE(""https://docs.google.com/spreadsheets/d/1XL5vhW3sbDhbH9Cz0tuDiY8C3ctxq1tqvaCgkFb8cCA/edit#gid=346597447"",""บึงกาฬ!J550"")"),0)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IFERROR(__xludf.DUMMYFUNCTION("IMPORTRANGE(""https://docs.google.com/spreadsheets/d/1XL5vhW3sbDhbH9Cz0tuDiY8C3ctxq1tqvaCgkFb8cCA/edit#gid=346597447"",""บึงกาฬ!J551"")"),0)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IFERROR(__xludf.DUMMYFUNCTION("IMPORTRANGE(""https://docs.google.com/spreadsheets/d/1XL5vhW3sbDhbH9Cz0tuDiY8C3ctxq1tqvaCgkFb8cCA/edit#gid=346597447"",""บึงกาฬ!J552"")"),0)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IFERROR(__xludf.DUMMYFUNCTION("IMPORTRANGE(""https://docs.google.com/spreadsheets/d/1XL5vhW3sbDhbH9Cz0tuDiY8C3ctxq1tqvaCgkFb8cCA/edit#gid=346597447"",""บึงกาฬ!J553"")"),0)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IFERROR(__xludf.DUMMYFUNCTION("IMPORTRANGE(""https://docs.google.com/spreadsheets/d/1XL5vhW3sbDhbH9Cz0tuDiY8C3ctxq1tqvaCgkFb8cCA/edit#gid=346597447"",""บึงกาฬ!J554"")"),0)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IFERROR(__xludf.DUMMYFUNCTION("IMPORTRANGE(""https://docs.google.com/spreadsheets/d/1XL5vhW3sbDhbH9Cz0tuDiY8C3ctxq1tqvaCgkFb8cCA/edit#gid=346597447"",""บึงกาฬ!J555"")"),0)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IFERROR(__xludf.DUMMYFUNCTION("IMPORTRANGE(""https://docs.google.com/spreadsheets/d/1XL5vhW3sbDhbH9Cz0tuDiY8C3ctxq1tqvaCgkFb8cCA/edit#gid=346597447"",""บึงกาฬ!J556"")"),0)</f>
        <v>0</v>
      </c>
      <c r="K661" s="586"/>
      <c r="L661" s="571">
        <f ca="1">IFERROR(__xludf.DUMMYFUNCTION("IMPORTRANGE(""https://docs.google.com/spreadsheets/d/1XL5vhW3sbDhbH9Cz0tuDiY8C3ctxq1tqvaCgkFb8cCA/edit#gid=346597447"",""บึงกาฬ!L556"")"),0)</f>
        <v>0</v>
      </c>
      <c r="M661" s="570"/>
      <c r="N661" s="587">
        <f ca="1">IFERROR(__xludf.DUMMYFUNCTION("IMPORTRANGE(""https://docs.google.com/spreadsheets/d/1XL5vhW3sbDhbH9Cz0tuDiY8C3ctxq1tqvaCgkFb8cCA/edit#gid=346597447"",""บึงกาฬ!M556"")"),0)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IFERROR(__xludf.DUMMYFUNCTION("IMPORTRANGE(""https://docs.google.com/spreadsheets/d/1XL5vhW3sbDhbH9Cz0tuDiY8C3ctxq1tqvaCgkFb8cCA/edit#gid=346597447"",""บึงกาฬ!J557"")"),0)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IFERROR(__xludf.DUMMYFUNCTION("IMPORTRANGE(""https://docs.google.com/spreadsheets/d/1XL5vhW3sbDhbH9Cz0tuDiY8C3ctxq1tqvaCgkFb8cCA/edit#gid=346597447"",""บึงกาฬ!I558"")"),0)</f>
        <v>0</v>
      </c>
      <c r="J663" s="585">
        <f ca="1">IFERROR(__xludf.DUMMYFUNCTION("IMPORTRANGE(""https://docs.google.com/spreadsheets/d/1XL5vhW3sbDhbH9Cz0tuDiY8C3ctxq1tqvaCgkFb8cCA/edit#gid=346597447"",""บึงกาฬ!J558"")"),0)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IFERROR(__xludf.DUMMYFUNCTION("IMPORTRANGE(""https://docs.google.com/spreadsheets/d/1XL5vhW3sbDhbH9Cz0tuDiY8C3ctxq1tqvaCgkFb8cCA/edit#gid=346597447"",""บึงกาฬ!I560"")"),0)</f>
        <v>0</v>
      </c>
      <c r="J665" s="585">
        <f ca="1">IFERROR(__xludf.DUMMYFUNCTION("IMPORTRANGE(""https://docs.google.com/spreadsheets/d/1XL5vhW3sbDhbH9Cz0tuDiY8C3ctxq1tqvaCgkFb8cCA/edit#gid=346597447"",""บึงกาฬ!J560"")"),0)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IFERROR(__xludf.DUMMYFUNCTION("IMPORTRANGE(""https://docs.google.com/spreadsheets/d/1XL5vhW3sbDhbH9Cz0tuDiY8C3ctxq1tqvaCgkFb8cCA/edit#gid=346597447"",""บึงกาฬ!L560"")"),0)</f>
        <v>0</v>
      </c>
      <c r="M665" s="570"/>
      <c r="N665" s="587">
        <f ca="1">IFERROR(__xludf.DUMMYFUNCTION("IMPORTRANGE(""https://docs.google.com/spreadsheets/d/1XL5vhW3sbDhbH9Cz0tuDiY8C3ctxq1tqvaCgkFb8cCA/edit#gid=346597447"",""บึงกาฬ!M560"")"),0)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IFERROR(__xludf.DUMMYFUNCTION("IMPORTRANGE(""https://docs.google.com/spreadsheets/d/1XL5vhW3sbDhbH9Cz0tuDiY8C3ctxq1tqvaCgkFb8cCA/edit#gid=346597447"",""บึงกาฬ!J561"")"),0)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IFERROR(__xludf.DUMMYFUNCTION("IMPORTRANGE(""https://docs.google.com/spreadsheets/d/1XL5vhW3sbDhbH9Cz0tuDiY8C3ctxq1tqvaCgkFb8cCA/edit#gid=346597447"",""บึงกาฬ!J562"")"),0)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IFERROR(__xludf.DUMMYFUNCTION("IMPORTRANGE(""https://docs.google.com/spreadsheets/d/1XL5vhW3sbDhbH9Cz0tuDiY8C3ctxq1tqvaCgkFb8cCA/edit#gid=346597447"",""บึงกาฬ!I563"")"),0)</f>
        <v>0</v>
      </c>
      <c r="J668" s="585">
        <f ca="1">IFERROR(__xludf.DUMMYFUNCTION("IMPORTRANGE(""https://docs.google.com/spreadsheets/d/1XL5vhW3sbDhbH9Cz0tuDiY8C3ctxq1tqvaCgkFb8cCA/edit#gid=346597447"",""บึงกาฬ!J563"")"),0)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IFERROR(__xludf.DUMMYFUNCTION("IMPORTRANGE(""https://docs.google.com/spreadsheets/d/1XL5vhW3sbDhbH9Cz0tuDiY8C3ctxq1tqvaCgkFb8cCA/edit#gid=346597447"",""บึงกาฬ!L563"")"),0)</f>
        <v>0</v>
      </c>
      <c r="M668" s="570"/>
      <c r="N668" s="587">
        <f ca="1">IFERROR(__xludf.DUMMYFUNCTION("IMPORTRANGE(""https://docs.google.com/spreadsheets/d/1XL5vhW3sbDhbH9Cz0tuDiY8C3ctxq1tqvaCgkFb8cCA/edit#gid=346597447"",""บึงกาฬ!M563"")"),0)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IFERROR(__xludf.DUMMYFUNCTION("IMPORTRANGE(""https://docs.google.com/spreadsheets/d/1XL5vhW3sbDhbH9Cz0tuDiY8C3ctxq1tqvaCgkFb8cCA/edit#gid=346597447"",""บึงกาฬ!J564"")"),0)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IFERROR(__xludf.DUMMYFUNCTION("IMPORTRANGE(""https://docs.google.com/spreadsheets/d/1XL5vhW3sbDhbH9Cz0tuDiY8C3ctxq1tqvaCgkFb8cCA/edit#gid=346597447"",""บึงกาฬ!J565"")"),0)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IFERROR(__xludf.DUMMYFUNCTION("IMPORTRANGE(""https://docs.google.com/spreadsheets/d/1XL5vhW3sbDhbH9Cz0tuDiY8C3ctxq1tqvaCgkFb8cCA/edit#gid=346597447"",""บึงกาฬ!I566"")"),0)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IFERROR(__xludf.DUMMYFUNCTION("IMPORTRANGE(""https://docs.google.com/spreadsheets/d/1XL5vhW3sbDhbH9Cz0tuDiY8C3ctxq1tqvaCgkFb8cCA/edit#gid=346597447"",""บึงกาฬ!L566"")"),0)</f>
        <v>0</v>
      </c>
      <c r="M671" s="570"/>
      <c r="N671" s="587">
        <f ca="1">IFERROR(__xludf.DUMMYFUNCTION("IMPORTRANGE(""https://docs.google.com/spreadsheets/d/1XL5vhW3sbDhbH9Cz0tuDiY8C3ctxq1tqvaCgkFb8cCA/edit#gid=346597447"",""บึงกาฬ!M566"")"),0)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IFERROR(__xludf.DUMMYFUNCTION("IMPORTRANGE(""https://docs.google.com/spreadsheets/d/1XL5vhW3sbDhbH9Cz0tuDiY8C3ctxq1tqvaCgkFb8cCA/edit#gid=346597447"",""บึงกาฬ!J567"")"),0)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IFERROR(__xludf.DUMMYFUNCTION("IMPORTRANGE(""https://docs.google.com/spreadsheets/d/1XL5vhW3sbDhbH9Cz0tuDiY8C3ctxq1tqvaCgkFb8cCA/edit#gid=346597447"",""บึงกาฬ!J568"")"),0)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IFERROR(__xludf.DUMMYFUNCTION("IMPORTRANGE(""https://docs.google.com/spreadsheets/d/1XL5vhW3sbDhbH9Cz0tuDiY8C3ctxq1tqvaCgkFb8cCA/edit#gid=346597447"",""บึงกาฬ!J569"")"),0)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IFERROR(__xludf.DUMMYFUNCTION("IMPORTRANGE(""https://docs.google.com/spreadsheets/d/1XL5vhW3sbDhbH9Cz0tuDiY8C3ctxq1tqvaCgkFb8cCA/edit#gid=346597447"",""บึงกาฬ!J570"")"),0)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IFERROR(__xludf.DUMMYFUNCTION("IMPORTRANGE(""https://docs.google.com/spreadsheets/d/1XL5vhW3sbDhbH9Cz0tuDiY8C3ctxq1tqvaCgkFb8cCA/edit#gid=346597447"",""บึงกาฬ!J571"")"),0)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IFERROR(__xludf.DUMMYFUNCTION("IMPORTRANGE(""https://docs.google.com/spreadsheets/d/1XL5vhW3sbDhbH9Cz0tuDiY8C3ctxq1tqvaCgkFb8cCA/edit#gid=346597447"",""บึงกาฬ!J572"")"),0)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activeCell="G13" sqref="G1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.28515625" customWidth="1"/>
    <col min="8" max="8" width="10.85546875" customWidth="1"/>
    <col min="9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9234362</v>
      </c>
      <c r="M8" s="23">
        <f t="shared" ca="1" si="0"/>
        <v>4545862</v>
      </c>
      <c r="N8" s="23">
        <f t="shared" ca="1" si="0"/>
        <v>4083959.7999999989</v>
      </c>
      <c r="O8" s="22">
        <f t="shared" ref="O8:O16" ca="1" si="1">IF(L8&gt;0,N8*100/L8,0)</f>
        <v>44.225684459846804</v>
      </c>
      <c r="P8" s="22">
        <f t="shared" ref="P8:P16" ca="1" si="2">IF(M8&gt;0,N8*100/M8,0)</f>
        <v>89.839062426444073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9234362</v>
      </c>
      <c r="M10" s="30">
        <f t="shared" ca="1" si="4"/>
        <v>4545862</v>
      </c>
      <c r="N10" s="30">
        <f t="shared" ca="1" si="4"/>
        <v>4083959.7999999989</v>
      </c>
      <c r="O10" s="29">
        <f t="shared" ca="1" si="1"/>
        <v>44.225684459846804</v>
      </c>
      <c r="P10" s="29">
        <f t="shared" ca="1" si="2"/>
        <v>89.839062426444073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8375462</v>
      </c>
      <c r="M12" s="38">
        <f t="shared" ca="1" si="6"/>
        <v>3686962</v>
      </c>
      <c r="N12" s="38">
        <f t="shared" ca="1" si="6"/>
        <v>3225059.7999999989</v>
      </c>
      <c r="O12" s="38">
        <f t="shared" ca="1" si="1"/>
        <v>38.50605256163778</v>
      </c>
      <c r="P12" s="38">
        <f t="shared" ca="1" si="2"/>
        <v>87.472010831681985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2402800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5972662</v>
      </c>
      <c r="M14" s="38">
        <f t="shared" si="8"/>
        <v>0</v>
      </c>
      <c r="N14" s="38">
        <f t="shared" ca="1" si="8"/>
        <v>667946.50999999908</v>
      </c>
      <c r="O14" s="38">
        <f t="shared" ca="1" si="1"/>
        <v>11.183397118403805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5319865</v>
      </c>
      <c r="M18" s="23">
        <f t="shared" ca="1" si="11"/>
        <v>4545862</v>
      </c>
      <c r="N18" s="23">
        <f t="shared" ca="1" si="11"/>
        <v>3416013.29</v>
      </c>
      <c r="O18" s="22">
        <f t="shared" ref="O18:O20" ca="1" si="12">IF(L18&gt;0,N18*100/L18,0)</f>
        <v>64.212405577961093</v>
      </c>
      <c r="P18" s="22">
        <f t="shared" ref="P18:P26" ca="1" si="13">IF(M18&gt;0,N18*100/M18,0)</f>
        <v>75.145556332330372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5319865</v>
      </c>
      <c r="M20" s="30">
        <f t="shared" ca="1" si="15"/>
        <v>4545862</v>
      </c>
      <c r="N20" s="30">
        <f t="shared" ca="1" si="15"/>
        <v>3416013.29</v>
      </c>
      <c r="O20" s="29">
        <f t="shared" ca="1" si="12"/>
        <v>64.212405577961093</v>
      </c>
      <c r="P20" s="29">
        <f t="shared" ca="1" si="13"/>
        <v>75.145556332330372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4460965</v>
      </c>
      <c r="M22" s="41">
        <f t="shared" ca="1" si="18"/>
        <v>3686962</v>
      </c>
      <c r="N22" s="38">
        <f t="shared" ca="1" si="18"/>
        <v>2557113.29</v>
      </c>
      <c r="O22" s="38">
        <f t="shared" ca="1" si="17"/>
        <v>57.321976074683391</v>
      </c>
      <c r="P22" s="38">
        <f t="shared" ca="1" si="13"/>
        <v>69.35556401177989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2402800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2058165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3914497</v>
      </c>
      <c r="M28" s="23">
        <f t="shared" si="23"/>
        <v>0</v>
      </c>
      <c r="N28" s="23">
        <f t="shared" ca="1" si="23"/>
        <v>667946.50999999908</v>
      </c>
      <c r="O28" s="22">
        <f t="shared" ref="O28:O30" ca="1" si="24">IF(L28&gt;0,N28*100/L28,0)</f>
        <v>17.063405847545653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3914497</v>
      </c>
      <c r="M30" s="30">
        <f t="shared" si="27"/>
        <v>0</v>
      </c>
      <c r="N30" s="30">
        <f t="shared" ca="1" si="27"/>
        <v>667946.50999999908</v>
      </c>
      <c r="O30" s="29">
        <f t="shared" ca="1" si="24"/>
        <v>17.063405847545653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3914497</v>
      </c>
      <c r="M32" s="38">
        <f t="shared" si="30"/>
        <v>0</v>
      </c>
      <c r="N32" s="38">
        <f t="shared" ca="1" si="30"/>
        <v>667946.50999999908</v>
      </c>
      <c r="O32" s="38">
        <f t="shared" ca="1" si="29"/>
        <v>17.063405847545653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3914497</v>
      </c>
      <c r="M34" s="38">
        <f t="shared" si="32"/>
        <v>0</v>
      </c>
      <c r="N34" s="38">
        <f t="shared" ca="1" si="32"/>
        <v>667946.50999999908</v>
      </c>
      <c r="O34" s="38">
        <f t="shared" ca="1" si="29"/>
        <v>17.063405847545653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5319865</v>
      </c>
      <c r="M37" s="54">
        <f t="shared" ca="1" si="33"/>
        <v>4545862</v>
      </c>
      <c r="N37" s="54">
        <f t="shared" ca="1" si="33"/>
        <v>3416013.29</v>
      </c>
      <c r="O37" s="55">
        <f t="shared" ca="1" si="29"/>
        <v>64.212405577961093</v>
      </c>
      <c r="P37" s="55">
        <f t="shared" ca="1" si="25"/>
        <v>75.145556332330372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1577600</v>
      </c>
      <c r="M41" s="78">
        <f t="shared" ca="1" si="34"/>
        <v>1396600</v>
      </c>
      <c r="N41" s="78">
        <f t="shared" ca="1" si="34"/>
        <v>1295968.08</v>
      </c>
      <c r="O41" s="77">
        <f t="shared" ref="O41:O43" ca="1" si="35">IF(L41&gt;0,N41*100/L41,0)</f>
        <v>82.148078093306282</v>
      </c>
      <c r="P41" s="77">
        <f t="shared" ref="P41:P43" ca="1" si="36">IF(M41&gt;0,N41*100/M41,0)</f>
        <v>92.794506659029068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1577600</v>
      </c>
      <c r="M43" s="78">
        <f t="shared" ca="1" si="38"/>
        <v>1396600</v>
      </c>
      <c r="N43" s="78">
        <f t="shared" ca="1" si="38"/>
        <v>1295968.08</v>
      </c>
      <c r="O43" s="77">
        <f t="shared" ca="1" si="35"/>
        <v>82.148078093306282</v>
      </c>
      <c r="P43" s="77">
        <f t="shared" ca="1" si="36"/>
        <v>92.794506659029068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724100</v>
      </c>
      <c r="M45" s="622">
        <f ca="1">IFERROR(__xludf.DUMMYFUNCTION("IMPORTRANGE(""https://docs.google.com/spreadsheets/d/1Yj_ptqi66GCucihVvJfMjLAmec39IyEx_6qawtMGysU/edit?usp=sharing"",""สบก!Q44"")"),543100)</f>
        <v>543100</v>
      </c>
      <c r="N45" s="622">
        <f ca="1">IFERROR(__xludf.DUMMYFUNCTION("IMPORTRANGE(""https://docs.google.com/spreadsheets/d/1Yj_ptqi66GCucihVvJfMjLAmec39IyEx_6qawtMGysU/edit?usp=sharing"",""สบก!R44"")"),442468.08)</f>
        <v>442468.08</v>
      </c>
      <c r="O45" s="623">
        <f ca="1">IF(L45&gt;0,N45*100/L45,0)</f>
        <v>61.105935644248035</v>
      </c>
      <c r="P45" s="623">
        <f ca="1">IF(M45&gt;0,N45*100/M45,0)</f>
        <v>81.470830417970902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IFERROR(__xludf.DUMMYFUNCTION("IMPORTRANGE(""https://docs.google.com/spreadsheets/d/1Yj_ptqi66GCucihVvJfMjLAmec39IyEx_6qawtMGysU/edit?usp=sharing"",""สบก!M44"")"),724100)</f>
        <v>724100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IFERROR(__xludf.DUMMYFUNCTION("IMPORTRANGE(""https://docs.google.com/spreadsheets/d/1Yj_ptqi66GCucihVvJfMjLAmec39IyEx_6qawtMGysU/edit?usp=sharing"",""สบก!N44"")"),0)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IFERROR(__xludf.DUMMYFUNCTION("IMPORTRANGE(""https://docs.google.com/spreadsheets/d/1Yj_ptqi66GCucihVvJfMjLAmec39IyEx_6qawtMGysU/edit?usp=sharing"",""สบก!O44"")"),853500)</f>
        <v>853500</v>
      </c>
      <c r="M49" s="625">
        <f ca="1">L49</f>
        <v>853500</v>
      </c>
      <c r="N49" s="622">
        <f ca="1">IFERROR(__xludf.DUMMYFUNCTION("IMPORTRANGE(""https://docs.google.com/spreadsheets/d/1Yj_ptqi66GCucihVvJfMjLAmec39IyEx_6qawtMGysU/edit?usp=sharing"",""สบก!S44"")"),853500)</f>
        <v>853500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782400</v>
      </c>
      <c r="M53" s="121">
        <f t="shared" ca="1" si="39"/>
        <v>600572</v>
      </c>
      <c r="N53" s="121">
        <f t="shared" ca="1" si="39"/>
        <v>582239</v>
      </c>
      <c r="O53" s="120">
        <f t="shared" ref="O53:O55" ca="1" si="40">IF(L53&gt;0,N53*100/L53,0)</f>
        <v>74.41705010224949</v>
      </c>
      <c r="P53" s="120">
        <f t="shared" ref="P53:P55" ca="1" si="41">IF(M53&gt;0,N53*100/M53,0)</f>
        <v>96.947410135670665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782400</v>
      </c>
      <c r="M55" s="121">
        <f t="shared" ca="1" si="43"/>
        <v>600572</v>
      </c>
      <c r="N55" s="121">
        <f t="shared" ca="1" si="43"/>
        <v>582239</v>
      </c>
      <c r="O55" s="120">
        <f t="shared" ca="1" si="40"/>
        <v>74.41705010224949</v>
      </c>
      <c r="P55" s="120">
        <f t="shared" ca="1" si="41"/>
        <v>96.947410135670665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782400</v>
      </c>
      <c r="M57" s="622">
        <f ca="1">IFERROR(__xludf.DUMMYFUNCTION("IMPORTRANGE(""https://docs.google.com/spreadsheets/d/1Yj_ptqi66GCucihVvJfMjLAmec39IyEx_6qawtMGysU/edit?usp=sharing"",""สบก!Z44"")"),600572)</f>
        <v>600572</v>
      </c>
      <c r="N57" s="622">
        <f ca="1">IFERROR(__xludf.DUMMYFUNCTION("IMPORTRANGE(""https://docs.google.com/spreadsheets/d/1Yj_ptqi66GCucihVvJfMjLAmec39IyEx_6qawtMGysU/edit?usp=sharing"",""สบก!AA44"")"),582239)</f>
        <v>582239</v>
      </c>
      <c r="O57" s="623">
        <f ca="1">IF(L57&gt;0,N57*100/L57,0)</f>
        <v>74.41705010224949</v>
      </c>
      <c r="P57" s="623">
        <f ca="1">IF(M57&gt;0,N57*100/M57,0)</f>
        <v>96.947410135670665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IFERROR(__xludf.DUMMYFUNCTION("IMPORTRANGE(""https://docs.google.com/spreadsheets/d/1Yj_ptqi66GCucihVvJfMjLAmec39IyEx_6qawtMGysU/edit?usp=sharing"",""สบก!V44"")"),782400)</f>
        <v>782400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IFERROR(__xludf.DUMMYFUNCTION("IMPORTRANGE(""https://docs.google.com/spreadsheets/d/1Yj_ptqi66GCucihVvJfMjLAmec39IyEx_6qawtMGysU/edit?usp=sharing"",""สบก!W44"")"),0)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IFERROR(__xludf.DUMMYFUNCTION("IMPORTRANGE(""https://docs.google.com/spreadsheets/d/1Yj_ptqi66GCucihVvJfMjLAmec39IyEx_6qawtMGysU/edit?usp=sharing"",""สบก!X44"")"),0)</f>
        <v>0</v>
      </c>
      <c r="M61" s="625"/>
      <c r="N61" s="622">
        <f ca="1">IFERROR(__xludf.DUMMYFUNCTION("IMPORTRANGE(""https://docs.google.com/spreadsheets/d/1Yj_ptqi66GCucihVvJfMjLAmec39IyEx_6qawtMGysU/edit?usp=sharing"",""สบก!AB44"")"),0)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753100</v>
      </c>
      <c r="M66" s="152">
        <f t="shared" ca="1" si="45"/>
        <v>633320</v>
      </c>
      <c r="N66" s="152">
        <f t="shared" ca="1" si="45"/>
        <v>352697.19</v>
      </c>
      <c r="O66" s="151">
        <f t="shared" ref="O66:O68" ca="1" si="46">IF(L66&gt;0,N66*100/L66,0)</f>
        <v>46.832716770681188</v>
      </c>
      <c r="P66" s="151">
        <f t="shared" ref="P66:P68" ca="1" si="47">IF(M66&gt;0,N66*100/M66,0)</f>
        <v>55.690202425314219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753100</v>
      </c>
      <c r="M68" s="157">
        <f t="shared" ca="1" si="49"/>
        <v>633320</v>
      </c>
      <c r="N68" s="157">
        <f t="shared" ca="1" si="49"/>
        <v>352697.19</v>
      </c>
      <c r="O68" s="156">
        <f t="shared" ca="1" si="46"/>
        <v>46.832716770681188</v>
      </c>
      <c r="P68" s="156">
        <f t="shared" ca="1" si="47"/>
        <v>55.690202425314219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753100</v>
      </c>
      <c r="M70" s="626">
        <f ca="1">IFERROR(__xludf.DUMMYFUNCTION("IMPORTRANGE(""https://docs.google.com/spreadsheets/d/1Yj_ptqi66GCucihVvJfMjLAmec39IyEx_6qawtMGysU/edit?usp=sharing"",""สบก!AI44"")"),633320)</f>
        <v>633320</v>
      </c>
      <c r="N70" s="627">
        <f ca="1">IFERROR(__xludf.DUMMYFUNCTION("IMPORTRANGE(""https://docs.google.com/spreadsheets/d/1Yj_ptqi66GCucihVvJfMjLAmec39IyEx_6qawtMGysU/edit?usp=sharing"",""สบก!AJ44"")"),352697.19)</f>
        <v>352697.19</v>
      </c>
      <c r="O70" s="169">
        <f ca="1">IF(L70&gt;0,N70*100/L70,0)</f>
        <v>46.832716770681188</v>
      </c>
      <c r="P70" s="169">
        <f ca="1">IF(M70&gt;0,N70*100/M70,0)</f>
        <v>55.690202425314219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IFERROR(__xludf.DUMMYFUNCTION("IMPORTRANGE(""https://docs.google.com/spreadsheets/d/1Yj_ptqi66GCucihVvJfMjLAmec39IyEx_6qawtMGysU/edit?usp=sharing"",""สบก!AF44"")"),563600)</f>
        <v>563600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IFERROR(__xludf.DUMMYFUNCTION("IMPORTRANGE(""https://docs.google.com/spreadsheets/d/1Yj_ptqi66GCucihVvJfMjLAmec39IyEx_6qawtMGysU/edit?usp=sharing"",""สบก!AG44"")"),0)</f>
        <v>0</v>
      </c>
      <c r="M74" s="625"/>
      <c r="N74" s="622">
        <f ca="1">IFERROR(__xludf.DUMMYFUNCTION("IMPORTRANGE(""https://docs.google.com/spreadsheets/d/1Yj_ptqi66GCucihVvJfMjLAmec39IyEx_6qawtMGysU/edit?usp=sharing"",""สบก!AK44"")"),0)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IFERROR(__xludf.DUMMYFUNCTION("IMPORTRANGE(""https://docs.google.com/spreadsheets/d/1XL5vhW3sbDhbH9Cz0tuDiY8C3ctxq1tqvaCgkFb8cCA/edit?usp=sharing"",""บุรีรัมย์!I28"")"),63)</f>
        <v>63</v>
      </c>
      <c r="J88" s="204">
        <f ca="1">IFERROR(__xludf.DUMMYFUNCTION("IMPORTRANGE(""https://docs.google.com/spreadsheets/d/1XL5vhW3sbDhbH9Cz0tuDiY8C3ctxq1tqvaCgkFb8cCA/edit?usp=sharing"",""บุรีรัมย์!J28"")"),0)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IFERROR(__xludf.DUMMYFUNCTION("IMPORTRANGE(""https://docs.google.com/spreadsheets/d/1XL5vhW3sbDhbH9Cz0tuDiY8C3ctxq1tqvaCgkFb8cCA/edit?usp=sharing"",""บุรีรัมย์!J30"")"),0)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IFERROR(__xludf.DUMMYFUNCTION("IMPORTRANGE(""https://docs.google.com/spreadsheets/d/1Yj_ptqi66GCucihVvJfMjLAmec39IyEx_6qawtMGysU/edit?usp=sharing"",""สบก!AR44"")"),0)</f>
        <v>0</v>
      </c>
      <c r="N98" s="627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IFERROR(__xludf.DUMMYFUNCTION("IMPORTRANGE(""https://docs.google.com/spreadsheets/d/1Yj_ptqi66GCucihVvJfMjLAmec39IyEx_6qawtMGysU/edit?usp=sharing"",""สบก!AP44"")"),0)</f>
        <v>0</v>
      </c>
      <c r="M102" s="625"/>
      <c r="N102" s="622">
        <f ca="1">IFERROR(__xludf.DUMMYFUNCTION("IMPORTRANGE(""https://docs.google.com/spreadsheets/d/1Yj_ptqi66GCucihVvJfMjLAmec39IyEx_6qawtMGysU/edit?usp=sharing"",""สบก!AT44"")"),0)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4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4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4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4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4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4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IFERROR(__xludf.DUMMYFUNCTION("IMPORTRANGE(""https://docs.google.com/spreadsheets/d/1XL5vhW3sbDhbH9Cz0tuDiY8C3ctxq1tqvaCgkFb8cCA/edit?usp=sharing"",""บุรีรัมย์!J50"")"),0)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51840</v>
      </c>
      <c r="O118" s="151">
        <f t="shared" ref="O118:O120" ca="1" si="59">IF(L118&gt;0,N118*100/L118,0)</f>
        <v>62.882096069868993</v>
      </c>
      <c r="P118" s="151">
        <f t="shared" ref="P118:P120" ca="1" si="60">IF(M118&gt;0,N118*100/M118,0)</f>
        <v>62.882096069868993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51840</v>
      </c>
      <c r="O120" s="156">
        <f t="shared" ca="1" si="59"/>
        <v>62.882096069868993</v>
      </c>
      <c r="P120" s="156">
        <f t="shared" ca="1" si="60"/>
        <v>62.882096069868993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IFERROR(__xludf.DUMMYFUNCTION("IMPORTRANGE(""https://docs.google.com/spreadsheets/d/1Yj_ptqi66GCucihVvJfMjLAmec39IyEx_6qawtMGysU/edit?usp=sharing"",""สบก!BA44"")"),82440)</f>
        <v>82440</v>
      </c>
      <c r="N122" s="627">
        <f ca="1">IFERROR(__xludf.DUMMYFUNCTION("IMPORTRANGE(""https://docs.google.com/spreadsheets/d/1Yj_ptqi66GCucihVvJfMjLAmec39IyEx_6qawtMGysU/edit?usp=sharing"",""สบก!BB44"")"),51840)</f>
        <v>51840</v>
      </c>
      <c r="O122" s="169">
        <f ca="1">IF(L122&gt;0,N122*100/L122,0)</f>
        <v>62.882096069868993</v>
      </c>
      <c r="P122" s="169">
        <f ca="1">IF(M122&gt;0,N122*100/M122,0)</f>
        <v>62.882096069868993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IFERROR(__xludf.DUMMYFUNCTION("IMPORTRANGE(""https://docs.google.com/spreadsheets/d/1Yj_ptqi66GCucihVvJfMjLAmec39IyEx_6qawtMGysU/edit?usp=sharing"",""สบก!AX44"")"),82440)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IFERROR(__xludf.DUMMYFUNCTION("IMPORTRANGE(""https://docs.google.com/spreadsheets/d/1Yj_ptqi66GCucihVvJfMjLAmec39IyEx_6qawtMGysU/edit?usp=sharing"",""สบก!AY44"")"),0)</f>
        <v>0</v>
      </c>
      <c r="M126" s="625"/>
      <c r="N126" s="622">
        <f ca="1">IFERROR(__xludf.DUMMYFUNCTION("IMPORTRANGE(""https://docs.google.com/spreadsheets/d/1Yj_ptqi66GCucihVvJfMjLAmec39IyEx_6qawtMGysU/edit?usp=sharing"",""สบก!BC44"")"),0)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273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IFERROR(__xludf.DUMMYFUNCTION("IMPORTRANGE(""https://docs.google.com/spreadsheets/d/1XL5vhW3sbDhbH9Cz0tuDiY8C3ctxq1tqvaCgkFb8cCA/edit?usp=sharing"",""บุรีรัมย์!J59"")"),1)</f>
        <v>1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IFERROR(__xludf.DUMMYFUNCTION("IMPORTRANGE(""https://docs.google.com/spreadsheets/d/1XL5vhW3sbDhbH9Cz0tuDiY8C3ctxq1tqvaCgkFb8cCA/edit?usp=sharing"",""บุรีรัมย์!J60"")"),1)</f>
        <v>1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IFERROR(__xludf.DUMMYFUNCTION("IMPORTRANGE(""https://docs.google.com/spreadsheets/d/1XL5vhW3sbDhbH9Cz0tuDiY8C3ctxq1tqvaCgkFb8cCA/edit?usp=sharing"",""บุรีรัมย์!J61"")"),1)</f>
        <v>1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4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4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IFERROR(__xludf.DUMMYFUNCTION("IMPORTRANGE(""https://docs.google.com/spreadsheets/d/1XL5vhW3sbDhbH9Cz0tuDiY8C3ctxq1tqvaCgkFb8cCA/edit?usp=sharing"",""บุรีรัมย์!J65"")"),0)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IFERROR(__xludf.DUMMYFUNCTION("IMPORTRANGE(""https://docs.google.com/spreadsheets/d/1XL5vhW3sbDhbH9Cz0tuDiY8C3ctxq1tqvaCgkFb8cCA/edit?usp=sharing"",""บุรีรัมย์!I68"")"),0)</f>
        <v>0</v>
      </c>
      <c r="J138" s="267">
        <f ca="1">IFERROR(__xludf.DUMMYFUNCTION("IMPORTRANGE(""https://docs.google.com/spreadsheets/d/1XL5vhW3sbDhbH9Cz0tuDiY8C3ctxq1tqvaCgkFb8cCA/edit?usp=sharing"",""บุรีรัมย์!J68"")"),0)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98500</v>
      </c>
      <c r="M140" s="152">
        <f t="shared" ca="1" si="64"/>
        <v>70625</v>
      </c>
      <c r="N140" s="152">
        <f t="shared" ca="1" si="64"/>
        <v>62480</v>
      </c>
      <c r="O140" s="151">
        <f t="shared" ref="O140:O142" ca="1" si="65">IF(L140&gt;0,N140*100/L140,0)</f>
        <v>63.431472081218274</v>
      </c>
      <c r="P140" s="151">
        <f t="shared" ref="P140:P142" ca="1" si="66">IF(M140&gt;0,N140*100/M140,0)</f>
        <v>88.467256637168148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98500</v>
      </c>
      <c r="M142" s="157">
        <f t="shared" ca="1" si="68"/>
        <v>70625</v>
      </c>
      <c r="N142" s="157">
        <f t="shared" ca="1" si="68"/>
        <v>62480</v>
      </c>
      <c r="O142" s="156">
        <f t="shared" ca="1" si="65"/>
        <v>63.431472081218274</v>
      </c>
      <c r="P142" s="156">
        <f t="shared" ca="1" si="66"/>
        <v>88.467256637168148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98500</v>
      </c>
      <c r="M144" s="626">
        <f ca="1">IFERROR(__xludf.DUMMYFUNCTION("IMPORTRANGE(""https://docs.google.com/spreadsheets/d/1Yj_ptqi66GCucihVvJfMjLAmec39IyEx_6qawtMGysU/edit?usp=sharing"",""สบก!BJ44"")"),70625)</f>
        <v>70625</v>
      </c>
      <c r="N144" s="627">
        <f ca="1">IFERROR(__xludf.DUMMYFUNCTION("IMPORTRANGE(""https://docs.google.com/spreadsheets/d/1Yj_ptqi66GCucihVvJfMjLAmec39IyEx_6qawtMGysU/edit?usp=sharing"",""สบก!BK44"")"),62480)</f>
        <v>62480</v>
      </c>
      <c r="O144" s="169">
        <f ca="1">IF(L144&gt;0,N144*100/L144,0)</f>
        <v>63.431472081218274</v>
      </c>
      <c r="P144" s="169">
        <f ca="1">IF(M144&gt;0,N144*100/M144,0)</f>
        <v>88.467256637168148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IFERROR(__xludf.DUMMYFUNCTION("IMPORTRANGE(""https://docs.google.com/spreadsheets/d/1Yj_ptqi66GCucihVvJfMjLAmec39IyEx_6qawtMGysU/edit?usp=sharing"",""สบก!BG44"")"),98500)</f>
        <v>98500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IFERROR(__xludf.DUMMYFUNCTION("IMPORTRANGE(""https://docs.google.com/spreadsheets/d/1Yj_ptqi66GCucihVvJfMjLAmec39IyEx_6qawtMGysU/edit?usp=sharing"",""สบก!BH44"")"),0)</f>
        <v>0</v>
      </c>
      <c r="M148" s="625"/>
      <c r="N148" s="622">
        <f ca="1">IFERROR(__xludf.DUMMYFUNCTION("IMPORTRANGE(""https://docs.google.com/spreadsheets/d/1Yj_ptqi66GCucihVvJfMjLAmec39IyEx_6qawtMGysU/edit?usp=sharing"",""สบก!BL44"")"),0)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IFERROR(__xludf.DUMMYFUNCTION("IMPORTRANGE(""https://docs.google.com/spreadsheets/d/1XL5vhW3sbDhbH9Cz0tuDiY8C3ctxq1tqvaCgkFb8cCA/edit?usp=sharing"",""บุรีรัมย์!I74"")"),4)</f>
        <v>4</v>
      </c>
      <c r="J149" s="275">
        <f ca="1">IFERROR(__xludf.DUMMYFUNCTION("IMPORTRANGE(""https://docs.google.com/spreadsheets/d/1XL5vhW3sbDhbH9Cz0tuDiY8C3ctxq1tqvaCgkFb8cCA/edit?usp=sharing"",""บุรีรัมย์!J74"")"),2)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IFERROR(__xludf.DUMMYFUNCTION("IMPORTRANGE(""https://docs.google.com/spreadsheets/d/1XL5vhW3sbDhbH9Cz0tuDiY8C3ctxq1tqvaCgkFb8cCA/edit?usp=sharing"",""บุรีรัมย์!J84"")"),131)</f>
        <v>131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IFERROR(__xludf.DUMMYFUNCTION("IMPORTRANGE(""https://docs.google.com/spreadsheets/d/1XL5vhW3sbDhbH9Cz0tuDiY8C3ctxq1tqvaCgkFb8cCA/edit?usp=sharing"",""บุรีรัมย์!J85"")"),131)</f>
        <v>131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IFERROR(__xludf.DUMMYFUNCTION("IMPORTRANGE(""https://docs.google.com/spreadsheets/d/1XL5vhW3sbDhbH9Cz0tuDiY8C3ctxq1tqvaCgkFb8cCA/edit?usp=sharing"",""บุรีรัมย์!J88"")"),0)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IFERROR(__xludf.DUMMYFUNCTION("IMPORTRANGE(""https://docs.google.com/spreadsheets/d/1XL5vhW3sbDhbH9Cz0tuDiY8C3ctxq1tqvaCgkFb8cCA/edit?usp=sharing"",""บุรีรัมย์!I89"")"),3)</f>
        <v>3</v>
      </c>
      <c r="J164" s="284">
        <f ca="1">IFERROR(__xludf.DUMMYFUNCTION("IMPORTRANGE(""https://docs.google.com/spreadsheets/d/1XL5vhW3sbDhbH9Cz0tuDiY8C3ctxq1tqvaCgkFb8cCA/edit?usp=sharing"",""บุรีรัมย์!J89"")"),3)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IFERROR(__xludf.DUMMYFUNCTION("IMPORTRANGE(""https://docs.google.com/spreadsheets/d/1XL5vhW3sbDhbH9Cz0tuDiY8C3ctxq1tqvaCgkFb8cCA/edit?usp=sharing"",""บุรีรัมย์!J100"")"),0)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IFERROR(__xludf.DUMMYFUNCTION("IMPORTRANGE(""https://docs.google.com/spreadsheets/d/1XL5vhW3sbDhbH9Cz0tuDiY8C3ctxq1tqvaCgkFb8cCA/edit?usp=sharing"",""บุรีรัมย์!I101"")"),1)</f>
        <v>1</v>
      </c>
      <c r="J176" s="284">
        <f ca="1">IFERROR(__xludf.DUMMYFUNCTION("IMPORTRANGE(""https://docs.google.com/spreadsheets/d/1XL5vhW3sbDhbH9Cz0tuDiY8C3ctxq1tqvaCgkFb8cCA/edit?usp=sharing"",""บุรีรัมย์!J101"")"),1)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IFERROR(__xludf.DUMMYFUNCTION("IMPORTRANGE(""https://docs.google.com/spreadsheets/d/1XL5vhW3sbDhbH9Cz0tuDiY8C3ctxq1tqvaCgkFb8cCA/edit?usp=sharing"",""บุรีรัมย์!J107"")"),1)</f>
        <v>1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IFERROR(__xludf.DUMMYFUNCTION("IMPORTRANGE(""https://docs.google.com/spreadsheets/d/1XL5vhW3sbDhbH9Cz0tuDiY8C3ctxq1tqvaCgkFb8cCA/edit?usp=sharing"",""บุรีรัมย์!J108"")"),1)</f>
        <v>1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IFERROR(__xludf.DUMMYFUNCTION("IMPORTRANGE(""https://docs.google.com/spreadsheets/d/1XL5vhW3sbDhbH9Cz0tuDiY8C3ctxq1tqvaCgkFb8cCA/edit?usp=sharing"",""บุรีรัมย์!J109"")"),1)</f>
        <v>1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4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IFERROR(__xludf.DUMMYFUNCTION("IMPORTRANGE(""https://docs.google.com/spreadsheets/d/1XL5vhW3sbDhbH9Cz0tuDiY8C3ctxq1tqvaCgkFb8cCA/edit?usp=sharing"",""บุรีรัมย์!J113"")"),0)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IFERROR(__xludf.DUMMYFUNCTION("IMPORTRANGE(""https://docs.google.com/spreadsheets/d/1XL5vhW3sbDhbH9Cz0tuDiY8C3ctxq1tqvaCgkFb8cCA/edit?usp=sharing"",""บุรีรัมย์!I114"")"),100000)</f>
        <v>100000</v>
      </c>
      <c r="J189" s="284">
        <f ca="1">IFERROR(__xludf.DUMMYFUNCTION("IMPORTRANGE(""https://docs.google.com/spreadsheets/d/1XL5vhW3sbDhbH9Cz0tuDiY8C3ctxq1tqvaCgkFb8cCA/edit?usp=sharing"",""บุรีรัมย์!J114"")"),0)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IFERROR(__xludf.DUMMYFUNCTION("IMPORTRANGE(""https://docs.google.com/spreadsheets/d/1XL5vhW3sbDhbH9Cz0tuDiY8C3ctxq1tqvaCgkFb8cCA/edit?usp=sharing"",""บุรีรัมย์!J128"")"),0)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IFERROR(__xludf.DUMMYFUNCTION("IMPORTRANGE(""https://docs.google.com/spreadsheets/d/1XL5vhW3sbDhbH9Cz0tuDiY8C3ctxq1tqvaCgkFb8cCA/edit?usp=sharing"",""บุรีรัมย์!I129"")"),0)</f>
        <v>0</v>
      </c>
      <c r="J204" s="284">
        <f ca="1">IFERROR(__xludf.DUMMYFUNCTION("IMPORTRANGE(""https://docs.google.com/spreadsheets/d/1XL5vhW3sbDhbH9Cz0tuDiY8C3ctxq1tqvaCgkFb8cCA/edit?usp=sharing"",""บุรีรัมย์!J129"")"),0)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IFERROR(__xludf.DUMMYFUNCTION("IMPORTRANGE(""https://docs.google.com/spreadsheets/d/1XL5vhW3sbDhbH9Cz0tuDiY8C3ctxq1tqvaCgkFb8cCA/edit?usp=sharing"",""บุรีรัมย์!J143"")"),0)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IFERROR(__xludf.DUMMYFUNCTION("IMPORTRANGE(""https://docs.google.com/spreadsheets/d/1XL5vhW3sbDhbH9Cz0tuDiY8C3ctxq1tqvaCgkFb8cCA/edit?usp=sharing"",""บุรีรัมย์!I144"")"),15)</f>
        <v>15</v>
      </c>
      <c r="J219" s="267">
        <f ca="1">IFERROR(__xludf.DUMMYFUNCTION("IMPORTRANGE(""https://docs.google.com/spreadsheets/d/1XL5vhW3sbDhbH9Cz0tuDiY8C3ctxq1tqvaCgkFb8cCA/edit?usp=sharing"",""บุรีรัมย์!J144"")"),15)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19732</v>
      </c>
      <c r="O220" s="151">
        <f t="shared" ref="O220:O222" ca="1" si="73">IF(L220&gt;0,N220*100/L220,0)</f>
        <v>93.40591715976332</v>
      </c>
      <c r="P220" s="151">
        <f t="shared" ref="P220:P222" ca="1" si="74">IF(M220&gt;0,N220*100/M220,0)</f>
        <v>93.40591715976332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19732</v>
      </c>
      <c r="O222" s="156">
        <f t="shared" ca="1" si="73"/>
        <v>93.40591715976332</v>
      </c>
      <c r="P222" s="156">
        <f t="shared" ca="1" si="74"/>
        <v>93.40591715976332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IFERROR(__xludf.DUMMYFUNCTION("IMPORTRANGE(""https://docs.google.com/spreadsheets/d/1Yj_ptqi66GCucihVvJfMjLAmec39IyEx_6qawtMGysU/edit?usp=sharing"",""สบก!BS44"")"),21125)</f>
        <v>21125</v>
      </c>
      <c r="N224" s="627">
        <f ca="1">IFERROR(__xludf.DUMMYFUNCTION("IMPORTRANGE(""https://docs.google.com/spreadsheets/d/1Yj_ptqi66GCucihVvJfMjLAmec39IyEx_6qawtMGysU/edit?usp=sharing"",""สบก!BT44"")"),19732)</f>
        <v>19732</v>
      </c>
      <c r="O224" s="169">
        <f ca="1">IF(L224&gt;0,N224*100/L224,0)</f>
        <v>93.40591715976332</v>
      </c>
      <c r="P224" s="169">
        <f ca="1">IF(M224&gt;0,N224*100/M224,0)</f>
        <v>93.40591715976332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IFERROR(__xludf.DUMMYFUNCTION("IMPORTRANGE(""https://docs.google.com/spreadsheets/d/1Yj_ptqi66GCucihVvJfMjLAmec39IyEx_6qawtMGysU/edit?usp=sharing"",""สบก!BQ44"")"),0)</f>
        <v>0</v>
      </c>
      <c r="M228" s="625"/>
      <c r="N228" s="622">
        <f ca="1">IFERROR(__xludf.DUMMYFUNCTION("IMPORTRANGE(""https://docs.google.com/spreadsheets/d/1Yj_ptqi66GCucihVvJfMjLAmec39IyEx_6qawtMGysU/edit?usp=sharing"",""สบก!BU44"")"),0)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IFERROR(__xludf.DUMMYFUNCTION("IMPORTRANGE(""https://docs.google.com/spreadsheets/d/1XL5vhW3sbDhbH9Cz0tuDiY8C3ctxq1tqvaCgkFb8cCA/edit?usp=sharing"",""บุรีรัมย์!I149"")"),15)</f>
        <v>15</v>
      </c>
      <c r="J229" s="267">
        <f ca="1">IFERROR(__xludf.DUMMYFUNCTION("IMPORTRANGE(""https://docs.google.com/spreadsheets/d/1XL5vhW3sbDhbH9Cz0tuDiY8C3ctxq1tqvaCgkFb8cCA/edit?usp=sharing"",""บุรีรัมย์!J149"")"),15)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IFERROR(__xludf.DUMMYFUNCTION("IMPORTRANGE(""https://docs.google.com/spreadsheets/d/1XL5vhW3sbDhbH9Cz0tuDiY8C3ctxq1tqvaCgkFb8cCA/edit?usp=sharing"",""บุรีรัมย์!J157"")"),0)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IFERROR(__xludf.DUMMYFUNCTION("IMPORTRANGE(""https://docs.google.com/spreadsheets/d/1XL5vhW3sbDhbH9Cz0tuDiY8C3ctxq1tqvaCgkFb8cCA/edit?usp=sharing"",""บุรีรัมย์!I158"")"),0)</f>
        <v>0</v>
      </c>
      <c r="J238" s="267">
        <f ca="1">IFERROR(__xludf.DUMMYFUNCTION("IMPORTRANGE(""https://docs.google.com/spreadsheets/d/1XL5vhW3sbDhbH9Cz0tuDiY8C3ctxq1tqvaCgkFb8cCA/edit?usp=sharing"",""บุรีรัมย์!J158"")"),0)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IFERROR(__xludf.DUMMYFUNCTION("IMPORTRANGE(""https://docs.google.com/spreadsheets/d/1XL5vhW3sbDhbH9Cz0tuDiY8C3ctxq1tqvaCgkFb8cCA/edit?usp=sharing"",""บุรีรัมย์!J166"")"),0)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IFERROR(__xludf.DUMMYFUNCTION("IMPORTRANGE(""https://docs.google.com/spreadsheets/d/1XL5vhW3sbDhbH9Cz0tuDiY8C3ctxq1tqvaCgkFb8cCA/edit?usp=sharing"",""บุรีรัมย์!I169"")"),25)</f>
        <v>25</v>
      </c>
      <c r="J249" s="316">
        <f ca="1">IFERROR(__xludf.DUMMYFUNCTION("IMPORTRANGE(""https://docs.google.com/spreadsheets/d/1XL5vhW3sbDhbH9Cz0tuDiY8C3ctxq1tqvaCgkFb8cCA/edit?usp=sharing"",""บุรีรัมย์!J169"")"),25)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47220</v>
      </c>
      <c r="O250" s="151">
        <f t="shared" ref="O250:O252" ca="1" si="78">IF(L250&gt;0,N250*100/L250,0)</f>
        <v>53.056179775280896</v>
      </c>
      <c r="P250" s="151">
        <f t="shared" ref="P250:P252" ca="1" si="79">IF(M250&gt;0,N250*100/M250,0)</f>
        <v>99.410526315789468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47220</v>
      </c>
      <c r="O252" s="156">
        <f t="shared" ca="1" si="78"/>
        <v>53.056179775280896</v>
      </c>
      <c r="P252" s="156">
        <f t="shared" ca="1" si="79"/>
        <v>99.410526315789468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IFERROR(__xludf.DUMMYFUNCTION("IMPORTRANGE(""https://docs.google.com/spreadsheets/d/1Yj_ptqi66GCucihVvJfMjLAmec39IyEx_6qawtMGysU/edit?usp=sharing"",""สบก!CB44"")"),47500)</f>
        <v>47500</v>
      </c>
      <c r="N254" s="627">
        <f ca="1">IFERROR(__xludf.DUMMYFUNCTION("IMPORTRANGE(""https://docs.google.com/spreadsheets/d/1Yj_ptqi66GCucihVvJfMjLAmec39IyEx_6qawtMGysU/edit?usp=sharing"",""สบก!CC44"")"),47220)</f>
        <v>47220</v>
      </c>
      <c r="O254" s="169">
        <f ca="1">IF(L254&gt;0,N254*100/L254,0)</f>
        <v>53.056179775280896</v>
      </c>
      <c r="P254" s="169">
        <f ca="1">IF(M254&gt;0,N254*100/M254,0)</f>
        <v>99.410526315789468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IFERROR(__xludf.DUMMYFUNCTION("IMPORTRANGE(""https://docs.google.com/spreadsheets/d/1Yj_ptqi66GCucihVvJfMjLAmec39IyEx_6qawtMGysU/edit?usp=sharing"",""สบก!BZ44"")"),0)</f>
        <v>0</v>
      </c>
      <c r="M258" s="625"/>
      <c r="N258" s="622">
        <f ca="1">IFERROR(__xludf.DUMMYFUNCTION("IMPORTRANGE(""https://docs.google.com/spreadsheets/d/1Yj_ptqi66GCucihVvJfMjLAmec39IyEx_6qawtMGysU/edit?usp=sharing"",""สบก!CD44"")"),0)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IFERROR(__xludf.DUMMYFUNCTION("IMPORTRANGE(""https://docs.google.com/spreadsheets/d/1XL5vhW3sbDhbH9Cz0tuDiY8C3ctxq1tqvaCgkFb8cCA/edit?usp=sharing"",""บุรีรัมย์!J184"")"),0)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IFERROR(__xludf.DUMMYFUNCTION("IMPORTRANGE(""https://docs.google.com/spreadsheets/d/1XL5vhW3sbDhbH9Cz0tuDiY8C3ctxq1tqvaCgkFb8cCA/edit?usp=sharing"",""บุรีรัมย์!I185"")"),20)</f>
        <v>20</v>
      </c>
      <c r="J270" s="316">
        <f ca="1">IFERROR(__xludf.DUMMYFUNCTION("IMPORTRANGE(""https://docs.google.com/spreadsheets/d/1XL5vhW3sbDhbH9Cz0tuDiY8C3ctxq1tqvaCgkFb8cCA/edit?usp=sharing"",""บุรีรัมย์!J185"")"),20)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447600</v>
      </c>
      <c r="M271" s="152">
        <f t="shared" ca="1" si="83"/>
        <v>359600</v>
      </c>
      <c r="N271" s="152">
        <f t="shared" ca="1" si="83"/>
        <v>249980</v>
      </c>
      <c r="O271" s="151">
        <f t="shared" ref="O271:O273" ca="1" si="84">IF(L271&gt;0,N271*100/L271,0)</f>
        <v>55.848972296693475</v>
      </c>
      <c r="P271" s="151">
        <f t="shared" ref="P271:P273" ca="1" si="85">IF(M271&gt;0,N271*100/M271,0)</f>
        <v>69.516129032258064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447600</v>
      </c>
      <c r="M273" s="157">
        <f t="shared" ca="1" si="87"/>
        <v>359600</v>
      </c>
      <c r="N273" s="157">
        <f t="shared" ca="1" si="87"/>
        <v>249980</v>
      </c>
      <c r="O273" s="156">
        <f t="shared" ca="1" si="84"/>
        <v>55.848972296693475</v>
      </c>
      <c r="P273" s="156">
        <f t="shared" ca="1" si="85"/>
        <v>69.516129032258064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447600</v>
      </c>
      <c r="M275" s="626">
        <f ca="1">IFERROR(__xludf.DUMMYFUNCTION("IMPORTRANGE(""https://docs.google.com/spreadsheets/d/1Yj_ptqi66GCucihVvJfMjLAmec39IyEx_6qawtMGysU/edit?usp=sharing"",""สบก!CK44"")"),359600)</f>
        <v>359600</v>
      </c>
      <c r="N275" s="627">
        <f ca="1">IFERROR(__xludf.DUMMYFUNCTION("IMPORTRANGE(""https://docs.google.com/spreadsheets/d/1Yj_ptqi66GCucihVvJfMjLAmec39IyEx_6qawtMGysU/edit?usp=sharing"",""สบก!CL44"")"),249980)</f>
        <v>249980</v>
      </c>
      <c r="O275" s="169">
        <f ca="1">IF(L275&gt;0,N275*100/L275,0)</f>
        <v>55.848972296693475</v>
      </c>
      <c r="P275" s="169">
        <f ca="1">IF(M275&gt;0,N275*100/M275,0)</f>
        <v>69.516129032258064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IFERROR(__xludf.DUMMYFUNCTION("IMPORTRANGE(""https://docs.google.com/spreadsheets/d/1Yj_ptqi66GCucihVvJfMjLAmec39IyEx_6qawtMGysU/edit?usp=sharing"",""สบก!CH44"")"),183600)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IFERROR(__xludf.DUMMYFUNCTION("IMPORTRANGE(""https://docs.google.com/spreadsheets/d/1Yj_ptqi66GCucihVvJfMjLAmec39IyEx_6qawtMGysU/edit?usp=sharing"",""สบก!CI44"")"),0)</f>
        <v>0</v>
      </c>
      <c r="M279" s="625"/>
      <c r="N279" s="622">
        <f ca="1">IFERROR(__xludf.DUMMYFUNCTION("IMPORTRANGE(""https://docs.google.com/spreadsheets/d/1Yj_ptqi66GCucihVvJfMjLAmec39IyEx_6qawtMGysU/edit?usp=sharing"",""สบก!CM44"")"),0)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IFERROR(__xludf.DUMMYFUNCTION("IMPORTRANGE(""https://docs.google.com/spreadsheets/d/1XL5vhW3sbDhbH9Cz0tuDiY8C3ctxq1tqvaCgkFb8cCA/edit?usp=sharing"",""บุรีรัมย์!J197"")"),0)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IFERROR(__xludf.DUMMYFUNCTION("IMPORTRANGE(""https://docs.google.com/spreadsheets/d/1XL5vhW3sbDhbH9Cz0tuDiY8C3ctxq1tqvaCgkFb8cCA/edit?usp=sharing"",""บุรีรัมย์!I199"")"),0)</f>
        <v>0</v>
      </c>
      <c r="J289" s="316">
        <f ca="1">IFERROR(__xludf.DUMMYFUNCTION("IMPORTRANGE(""https://docs.google.com/spreadsheets/d/1XL5vhW3sbDhbH9Cz0tuDiY8C3ctxq1tqvaCgkFb8cCA/edit?usp=sharing"",""บุรีรัมย์!J199"")"),0)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IFERROR(__xludf.DUMMYFUNCTION("IMPORTRANGE(""https://docs.google.com/spreadsheets/d/1Yj_ptqi66GCucihVvJfMjLAmec39IyEx_6qawtMGysU/edit?usp=sharing"",""สบก!CT44"")"),0)</f>
        <v>0</v>
      </c>
      <c r="N294" s="627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IFERROR(__xludf.DUMMYFUNCTION("IMPORTRANGE(""https://docs.google.com/spreadsheets/d/1Yj_ptqi66GCucihVvJfMjLAmec39IyEx_6qawtMGysU/edit?usp=sharing"",""สบก!CR44"")"),0)</f>
        <v>0</v>
      </c>
      <c r="M298" s="625"/>
      <c r="N298" s="622">
        <f ca="1">IFERROR(__xludf.DUMMYFUNCTION("IMPORTRANGE(""https://docs.google.com/spreadsheets/d/1Yj_ptqi66GCucihVvJfMjLAmec39IyEx_6qawtMGysU/edit?usp=sharing"",""สบก!CV44"")"),0)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IFERROR(__xludf.DUMMYFUNCTION("IMPORTRANGE(""https://docs.google.com/spreadsheets/d/1XL5vhW3sbDhbH9Cz0tuDiY8C3ctxq1tqvaCgkFb8cCA/edit?usp=sharing"",""บุรีรัมย์!J213"")"),0)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IFERROR(__xludf.DUMMYFUNCTION("IMPORTRANGE(""https://docs.google.com/spreadsheets/d/1XL5vhW3sbDhbH9Cz0tuDiY8C3ctxq1tqvaCgkFb8cCA/edit?usp=sharing"",""บุรีรัมย์!I214"")"),0)</f>
        <v>0</v>
      </c>
      <c r="J309" s="333">
        <f ca="1">IFERROR(__xludf.DUMMYFUNCTION("IMPORTRANGE(""https://docs.google.com/spreadsheets/d/1XL5vhW3sbDhbH9Cz0tuDiY8C3ctxq1tqvaCgkFb8cCA/edit?usp=sharing"",""บุรีรัมย์!J214"")"),0)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IFERROR(__xludf.DUMMYFUNCTION("IMPORTRANGE(""https://docs.google.com/spreadsheets/d/1Yj_ptqi66GCucihVvJfMjLAmec39IyEx_6qawtMGysU/edit?usp=sharing"",""สบก!DC44"")"),0)</f>
        <v>0</v>
      </c>
      <c r="N314" s="627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IFERROR(__xludf.DUMMYFUNCTION("IMPORTRANGE(""https://docs.google.com/spreadsheets/d/1Yj_ptqi66GCucihVvJfMjLAmec39IyEx_6qawtMGysU/edit?usp=sharing"",""สบก!DA44"")"),0)</f>
        <v>0</v>
      </c>
      <c r="M318" s="625"/>
      <c r="N318" s="622">
        <f ca="1">IFERROR(__xludf.DUMMYFUNCTION("IMPORTRANGE(""https://docs.google.com/spreadsheets/d/1Yj_ptqi66GCucihVvJfMjLAmec39IyEx_6qawtMGysU/edit?usp=sharing"",""สบก!DE44"")"),0)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IFERROR(__xludf.DUMMYFUNCTION("IMPORTRANGE(""https://docs.google.com/spreadsheets/d/1XL5vhW3sbDhbH9Cz0tuDiY8C3ctxq1tqvaCgkFb8cCA/edit?usp=sharing"",""บุรีรัมย์!J226"")"),0)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IFERROR(__xludf.DUMMYFUNCTION("IMPORTRANGE(""https://docs.google.com/spreadsheets/d/1XL5vhW3sbDhbH9Cz0tuDiY8C3ctxq1tqvaCgkFb8cCA/edit?usp=sharing"",""บุรีรัมย์!I228"")"),880)</f>
        <v>880</v>
      </c>
      <c r="J328" s="339">
        <f ca="1">IFERROR(__xludf.DUMMYFUNCTION("IMPORTRANGE(""https://docs.google.com/spreadsheets/d/1XL5vhW3sbDhbH9Cz0tuDiY8C3ctxq1tqvaCgkFb8cCA/edit?usp=sharing"",""บุรีรัมย์!J228"")"),488)</f>
        <v>488</v>
      </c>
      <c r="K328" s="317">
        <f ca="1">IF(I328&gt;0,J328*100/I328,0)</f>
        <v>55.454545454545453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1468100</v>
      </c>
      <c r="M329" s="152">
        <f t="shared" ca="1" si="98"/>
        <v>1334080</v>
      </c>
      <c r="N329" s="152">
        <f t="shared" ca="1" si="98"/>
        <v>753857.02</v>
      </c>
      <c r="O329" s="151">
        <f t="shared" ref="O329:O331" ca="1" si="99">IF(L329&gt;0,N329*100/L329,0)</f>
        <v>51.349160138955114</v>
      </c>
      <c r="P329" s="151">
        <f t="shared" ref="P329:P331" ca="1" si="100">IF(M329&gt;0,N329*100/M329,0)</f>
        <v>56.507632225953465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1468100</v>
      </c>
      <c r="M331" s="157">
        <f t="shared" ca="1" si="102"/>
        <v>1334080</v>
      </c>
      <c r="N331" s="157">
        <f t="shared" ca="1" si="102"/>
        <v>753857.02</v>
      </c>
      <c r="O331" s="156">
        <f t="shared" ca="1" si="99"/>
        <v>51.349160138955114</v>
      </c>
      <c r="P331" s="156">
        <f t="shared" ca="1" si="100"/>
        <v>56.507632225953465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1462700</v>
      </c>
      <c r="M333" s="626">
        <f ca="1">IFERROR(__xludf.DUMMYFUNCTION("IMPORTRANGE(""https://docs.google.com/spreadsheets/d/1Yj_ptqi66GCucihVvJfMjLAmec39IyEx_6qawtMGysU/edit?usp=sharing"",""สบก!DL44"")"),1328680)</f>
        <v>1328680</v>
      </c>
      <c r="N333" s="627">
        <f ca="1">IFERROR(__xludf.DUMMYFUNCTION("IMPORTRANGE(""https://docs.google.com/spreadsheets/d/1Yj_ptqi66GCucihVvJfMjLAmec39IyEx_6qawtMGysU/edit?usp=sharing"",""สบก!DM44"")"),748457.02)</f>
        <v>748457.02</v>
      </c>
      <c r="O333" s="169">
        <f ca="1">IF(L333&gt;0,N333*100/L333,0)</f>
        <v>51.169550830655638</v>
      </c>
      <c r="P333" s="169">
        <f ca="1">IF(M333&gt;0,N333*100/M333,0)</f>
        <v>56.330871240629797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IFERROR(__xludf.DUMMYFUNCTION("IMPORTRANGE(""https://docs.google.com/spreadsheets/d/1Yj_ptqi66GCucihVvJfMjLAmec39IyEx_6qawtMGysU/edit?usp=sharing"",""สบก!DI44"")"),1019900)</f>
        <v>1019900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IFERROR(__xludf.DUMMYFUNCTION("IMPORTRANGE(""https://docs.google.com/spreadsheets/d/1Yj_ptqi66GCucihVvJfMjLAmec39IyEx_6qawtMGysU/edit?usp=sharing"",""สบก!DJ44"")"),5400)</f>
        <v>5400</v>
      </c>
      <c r="M337" s="625">
        <f ca="1">L337</f>
        <v>5400</v>
      </c>
      <c r="N337" s="622">
        <f ca="1">IFERROR(__xludf.DUMMYFUNCTION("IMPORTRANGE(""https://docs.google.com/spreadsheets/d/1Yj_ptqi66GCucihVvJfMjLAmec39IyEx_6qawtMGysU/edit?usp=sharing"",""สบก!DN44"")"),5400)</f>
        <v>5400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IFERROR(__xludf.DUMMYFUNCTION("IMPORTRANGE(""https://docs.google.com/spreadsheets/d/1XL5vhW3sbDhbH9Cz0tuDiY8C3ctxq1tqvaCgkFb8cCA/edit?usp=sharing"",""บุรีรัมย์!J234"")"),899)</f>
        <v>899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IFERROR(__xludf.DUMMYFUNCTION("IMPORTRANGE(""https://docs.google.com/spreadsheets/d/1XL5vhW3sbDhbH9Cz0tuDiY8C3ctxq1tqvaCgkFb8cCA/edit?usp=sharing"",""บุรีรัมย์!J235"")"),5529.51)</f>
        <v>5529.51</v>
      </c>
      <c r="K340" s="342">
        <f t="shared" ca="1" si="103"/>
        <v>72.756710526315786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IFERROR(__xludf.DUMMYFUNCTION("IMPORTRANGE(""https://docs.google.com/spreadsheets/d/1XL5vhW3sbDhbH9Cz0tuDiY8C3ctxq1tqvaCgkFb8cCA/edit?usp=sharing"",""บุรีรัมย์!J236"")"),650)</f>
        <v>650</v>
      </c>
      <c r="K341" s="342">
        <f t="shared" ca="1" si="103"/>
        <v>73.86363636363636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IFERROR(__xludf.DUMMYFUNCTION("IMPORTRANGE(""https://docs.google.com/spreadsheets/d/1XL5vhW3sbDhbH9Cz0tuDiY8C3ctxq1tqvaCgkFb8cCA/edit?usp=sharing"",""บุรีรัมย์!J237"")"),4198.73)</f>
        <v>4198.7299999999996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IFERROR(__xludf.DUMMYFUNCTION("IMPORTRANGE(""https://docs.google.com/spreadsheets/d/1XL5vhW3sbDhbH9Cz0tuDiY8C3ctxq1tqvaCgkFb8cCA/edit?usp=sharing"",""บุรีรัมย์!J238"")"),132)</f>
        <v>132</v>
      </c>
      <c r="K343" s="342">
        <f t="shared" ca="1" si="103"/>
        <v>15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IFERROR(__xludf.DUMMYFUNCTION("IMPORTRANGE(""https://docs.google.com/spreadsheets/d/1XL5vhW3sbDhbH9Cz0tuDiY8C3ctxq1tqvaCgkFb8cCA/edit?usp=sharing"",""บุรีรัมย์!J239"")"),948.17)</f>
        <v>948.17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IFERROR(__xludf.DUMMYFUNCTION("IMPORTRANGE(""https://docs.google.com/spreadsheets/d/1XL5vhW3sbDhbH9Cz0tuDiY8C3ctxq1tqvaCgkFb8cCA/edit?usp=sharing"",""บุรีรัมย์!J240"")"),488)</f>
        <v>488</v>
      </c>
      <c r="K345" s="342">
        <f t="shared" ca="1" si="103"/>
        <v>55.454545454545453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IFERROR(__xludf.DUMMYFUNCTION("IMPORTRANGE(""https://docs.google.com/spreadsheets/d/1XL5vhW3sbDhbH9Cz0tuDiY8C3ctxq1tqvaCgkFb8cCA/edit?usp=sharing"",""บุรีรัมย์!J241"")"),3236.25)</f>
        <v>3236.25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IFERROR(__xludf.DUMMYFUNCTION("IMPORTRANGE(""https://docs.google.com/spreadsheets/d/1XL5vhW3sbDhbH9Cz0tuDiY8C3ctxq1tqvaCgkFb8cCA/edit?usp=sharing"",""บุรีรัมย์!L242"")"),3914497)</f>
        <v>3914497</v>
      </c>
      <c r="M347" s="358"/>
      <c r="N347" s="358">
        <f ca="1">IFERROR(__xludf.DUMMYFUNCTION("IMPORTRANGE(""https://docs.google.com/spreadsheets/d/1XL5vhW3sbDhbH9Cz0tuDiY8C3ctxq1tqvaCgkFb8cCA/edit?usp=sharing"",""บุรีรัมย์!M242"")"),667946.51)</f>
        <v>667946.51</v>
      </c>
      <c r="O347" s="358">
        <f ca="1">+IF(L347&gt;0,N347*100/L347,0)</f>
        <v>17.063405847545674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IFERROR(__xludf.DUMMYFUNCTION("IMPORTRANGE(""https://docs.google.com/spreadsheets/d/1XL5vhW3sbDhbH9Cz0tuDiY8C3ctxq1tqvaCgkFb8cCA/edit?usp=sharing"",""บุรีรัมย์!M244"")"),106759.989999999)</f>
        <v>106759.989999999</v>
      </c>
      <c r="O349" s="373">
        <f ca="1">+IF(L349&gt;0,N349*100/L349,0)</f>
        <v>13.179757539844079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IFERROR(__xludf.DUMMYFUNCTION("IMPORTRANGE(""https://docs.google.com/spreadsheets/d/1XL5vhW3sbDhbH9Cz0tuDiY8C3ctxq1tqvaCgkFb8cCA/edit?usp=sharing"",""บุรีรัมย์!M247"")"),106759.989999999)</f>
        <v>106759.989999999</v>
      </c>
      <c r="O352" s="165">
        <f t="shared" ca="1" si="105"/>
        <v>13.179757539844079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IFERROR(__xludf.DUMMYFUNCTION("IMPORTRANGE(""https://docs.google.com/spreadsheets/d/1XL5vhW3sbDhbH9Cz0tuDiY8C3ctxq1tqvaCgkFb8cCA/edit?usp=sharing"",""บุรีรัมย์!M249"")"),106759.989999999)</f>
        <v>106759.989999999</v>
      </c>
      <c r="O354" s="169">
        <f t="shared" ca="1" si="105"/>
        <v>13.179757539844079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IFERROR(__xludf.DUMMYFUNCTION("IMPORTRANGE(""https://docs.google.com/spreadsheets/d/1XL5vhW3sbDhbH9Cz0tuDiY8C3ctxq1tqvaCgkFb8cCA/edit?usp=sharing"",""บุรีรัมย์!M250"")"),12920)</f>
        <v>12920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IFERROR(__xludf.DUMMYFUNCTION("IMPORTRANGE(""https://docs.google.com/spreadsheets/d/1XL5vhW3sbDhbH9Cz0tuDiY8C3ctxq1tqvaCgkFb8cCA/edit?usp=sharing"",""บุรีรัมย์!M252"")"),64899.99)</f>
        <v>64899.99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IFERROR(__xludf.DUMMYFUNCTION("IMPORTRANGE(""https://docs.google.com/spreadsheets/d/1XL5vhW3sbDhbH9Cz0tuDiY8C3ctxq1tqvaCgkFb8cCA/edit?usp=sharing"",""บุรีรัมย์!M253"")"),28940)</f>
        <v>28940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IFERROR(__xludf.DUMMYFUNCTION("IMPORTRANGE(""https://docs.google.com/spreadsheets/d/1XL5vhW3sbDhbH9Cz0tuDiY8C3ctxq1tqvaCgkFb8cCA/edit?usp=sharing"",""บุรีรัมย์!M275"")"),131048.31)</f>
        <v>131048.31</v>
      </c>
      <c r="O380" s="373">
        <f ca="1">+IF(L380&gt;0,N380*100/L380,0)</f>
        <v>12.741444988916113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IFERROR(__xludf.DUMMYFUNCTION("IMPORTRANGE(""https://docs.google.com/spreadsheets/d/1XL5vhW3sbDhbH9Cz0tuDiY8C3ctxq1tqvaCgkFb8cCA/edit?usp=sharing"",""บุรีรัมย์!M278"")"),131048.31)</f>
        <v>131048.31</v>
      </c>
      <c r="O383" s="165">
        <f t="shared" ca="1" si="109"/>
        <v>12.741444988916113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IFERROR(__xludf.DUMMYFUNCTION("IMPORTRANGE(""https://docs.google.com/spreadsheets/d/1XL5vhW3sbDhbH9Cz0tuDiY8C3ctxq1tqvaCgkFb8cCA/edit?usp=sharing"",""บุรีรัมย์!M280"")"),131048.31)</f>
        <v>131048.31</v>
      </c>
      <c r="O385" s="169">
        <f t="shared" ca="1" si="109"/>
        <v>12.741444988916113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IFERROR(__xludf.DUMMYFUNCTION("IMPORTRANGE(""https://docs.google.com/spreadsheets/d/1XL5vhW3sbDhbH9Cz0tuDiY8C3ctxq1tqvaCgkFb8cCA/edit?usp=sharing"",""บุรีรัมย์!M281"")"),42225)</f>
        <v>42225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IFERROR(__xludf.DUMMYFUNCTION("IMPORTRANGE(""https://docs.google.com/spreadsheets/d/1XL5vhW3sbDhbH9Cz0tuDiY8C3ctxq1tqvaCgkFb8cCA/edit?usp=sharing"",""บุรีรัมย์!M283"")"),63433.31)</f>
        <v>63433.31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IFERROR(__xludf.DUMMYFUNCTION("IMPORTRANGE(""https://docs.google.com/spreadsheets/d/1XL5vhW3sbDhbH9Cz0tuDiY8C3ctxq1tqvaCgkFb8cCA/edit?usp=sharing"",""บุรีรัมย์!M284"")"),25390)</f>
        <v>25390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IFERROR(__xludf.DUMMYFUNCTION("IMPORTRANGE(""https://docs.google.com/spreadsheets/d/1XL5vhW3sbDhbH9Cz0tuDiY8C3ctxq1tqvaCgkFb8cCA/edit?usp=sharing"",""บุรีรัมย์!J295"")"),0)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IFERROR(__xludf.DUMMYFUNCTION("IMPORTRANGE(""https://docs.google.com/spreadsheets/d/1XL5vhW3sbDhbH9Cz0tuDiY8C3ctxq1tqvaCgkFb8cCA/edit?usp=sharing"",""บุรีรัมย์!M296"")"),94305)</f>
        <v>94305</v>
      </c>
      <c r="O401" s="373">
        <f ca="1">+IF(L401&gt;0,N401*100/L401,0)</f>
        <v>40.989698787325594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IFERROR(__xludf.DUMMYFUNCTION("IMPORTRANGE(""https://docs.google.com/spreadsheets/d/1XL5vhW3sbDhbH9Cz0tuDiY8C3ctxq1tqvaCgkFb8cCA/edit?usp=sharing"",""บุรีรัมย์!M299"")"),94305)</f>
        <v>94305</v>
      </c>
      <c r="O404" s="169">
        <f t="shared" ca="1" si="112"/>
        <v>40.989698787325594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IFERROR(__xludf.DUMMYFUNCTION("IMPORTRANGE(""https://docs.google.com/spreadsheets/d/1XL5vhW3sbDhbH9Cz0tuDiY8C3ctxq1tqvaCgkFb8cCA/edit?usp=sharing"",""บุรีรัมย์!M301"")"),94305)</f>
        <v>94305</v>
      </c>
      <c r="O406" s="169">
        <f t="shared" ca="1" si="112"/>
        <v>40.989698787325594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IFERROR(__xludf.DUMMYFUNCTION("IMPORTRANGE(""https://docs.google.com/spreadsheets/d/1XL5vhW3sbDhbH9Cz0tuDiY8C3ctxq1tqvaCgkFb8cCA/edit?usp=sharing"",""บุรีรัมย์!M302"")"),86535)</f>
        <v>86535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IFERROR(__xludf.DUMMYFUNCTION("IMPORTRANGE(""https://docs.google.com/spreadsheets/d/1XL5vhW3sbDhbH9Cz0tuDiY8C3ctxq1tqvaCgkFb8cCA/edit?usp=sharing"",""บุรีรัมย์!M305"")"),7770)</f>
        <v>7770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IFERROR(__xludf.DUMMYFUNCTION("IMPORTRANGE(""https://docs.google.com/spreadsheets/d/1XL5vhW3sbDhbH9Cz0tuDiY8C3ctxq1tqvaCgkFb8cCA/edit?usp=sharing"",""บุรีรัมย์!J329"")"),0)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IFERROR(__xludf.DUMMYFUNCTION("IMPORTRANGE(""https://docs.google.com/spreadsheets/d/1XL5vhW3sbDhbH9Cz0tuDiY8C3ctxq1tqvaCgkFb8cCA/edit?usp=sharing"",""บุรีรัมย์!M330"")"),68755.6)</f>
        <v>68755.600000000006</v>
      </c>
      <c r="O435" s="412">
        <f t="shared" ref="O435:O439" ca="1" si="114">+IF(L435&gt;0,N435*100/L435,0)</f>
        <v>58.267457627118652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IFERROR(__xludf.DUMMYFUNCTION("IMPORTRANGE(""https://docs.google.com/spreadsheets/d/1XL5vhW3sbDhbH9Cz0tuDiY8C3ctxq1tqvaCgkFb8cCA/edit?usp=sharing"",""บุรีรัมย์!M332"")"),68755.6)</f>
        <v>68755.600000000006</v>
      </c>
      <c r="O437" s="169">
        <f t="shared" ca="1" si="114"/>
        <v>58.267457627118652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IFERROR(__xludf.DUMMYFUNCTION("IMPORTRANGE(""https://docs.google.com/spreadsheets/d/1XL5vhW3sbDhbH9Cz0tuDiY8C3ctxq1tqvaCgkFb8cCA/edit?usp=sharing"",""บุรีรัมย์!M334"")"),68755.6)</f>
        <v>68755.600000000006</v>
      </c>
      <c r="O439" s="169">
        <f t="shared" ca="1" si="114"/>
        <v>58.267457627118652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IFERROR(__xludf.DUMMYFUNCTION("IMPORTRANGE(""https://docs.google.com/spreadsheets/d/1XL5vhW3sbDhbH9Cz0tuDiY8C3ctxq1tqvaCgkFb8cCA/edit?usp=sharing"",""บุรีรัมย์!M335"")"),32615.6)</f>
        <v>32615.599999999999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IFERROR(__xludf.DUMMYFUNCTION("IMPORTRANGE(""https://docs.google.com/spreadsheets/d/1XL5vhW3sbDhbH9Cz0tuDiY8C3ctxq1tqvaCgkFb8cCA/edit?usp=sharing"",""บุรีรัมย์!M338"")"),36140)</f>
        <v>36140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IFERROR(__xludf.DUMMYFUNCTION("IMPORTRANGE(""https://docs.google.com/spreadsheets/d/1XL5vhW3sbDhbH9Cz0tuDiY8C3ctxq1tqvaCgkFb8cCA/edit?usp=sharing"",""บุรีรัมย์!J349"")"),0)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IFERROR(__xludf.DUMMYFUNCTION("IMPORTRANGE(""https://docs.google.com/spreadsheets/d/1XL5vhW3sbDhbH9Cz0tuDiY8C3ctxq1tqvaCgkFb8cCA/edit?usp=sharing"",""บุรีรัมย์!J350"")"),32922)</f>
        <v>32922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IFERROR(__xludf.DUMMYFUNCTION("IMPORTRANGE(""https://docs.google.com/spreadsheets/d/1XL5vhW3sbDhbH9Cz0tuDiY8C3ctxq1tqvaCgkFb8cCA/edit?usp=sharing"",""บุรีรัมย์!L350"")"),1348197)</f>
        <v>1348197</v>
      </c>
      <c r="M455" s="373"/>
      <c r="N455" s="373">
        <f ca="1">IFERROR(__xludf.DUMMYFUNCTION("IMPORTRANGE(""https://docs.google.com/spreadsheets/d/1XL5vhW3sbDhbH9Cz0tuDiY8C3ctxq1tqvaCgkFb8cCA/edit?usp=sharing"",""บุรีรัมย์!M350"")"),161277.07)</f>
        <v>161277.07</v>
      </c>
      <c r="O455" s="373">
        <f t="shared" ref="O455:O459" ca="1" si="116">+IF(L455&gt;0,N455*100/L455,0)</f>
        <v>11.962426114284485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IFERROR(__xludf.DUMMYFUNCTION("IMPORTRANGE(""https://docs.google.com/spreadsheets/d/1XL5vhW3sbDhbH9Cz0tuDiY8C3ctxq1tqvaCgkFb8cCA/edit?usp=sharing"",""บุรีรัมย์!L352"")"),1348197)</f>
        <v>1348197</v>
      </c>
      <c r="M457" s="165"/>
      <c r="N457" s="169">
        <f ca="1">IFERROR(__xludf.DUMMYFUNCTION("IMPORTRANGE(""https://docs.google.com/spreadsheets/d/1XL5vhW3sbDhbH9Cz0tuDiY8C3ctxq1tqvaCgkFb8cCA/edit?usp=sharing"",""บุรีรัมย์!M352"")"),161277.07)</f>
        <v>161277.07</v>
      </c>
      <c r="O457" s="169">
        <f t="shared" ca="1" si="116"/>
        <v>11.962426114284485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IFERROR(__xludf.DUMMYFUNCTION("IMPORTRANGE(""https://docs.google.com/spreadsheets/d/1XL5vhW3sbDhbH9Cz0tuDiY8C3ctxq1tqvaCgkFb8cCA/edit?usp=sharing"",""บุรีรัมย์!L354"")"),1348197)</f>
        <v>1348197</v>
      </c>
      <c r="M459" s="169"/>
      <c r="N459" s="169">
        <f ca="1">IFERROR(__xludf.DUMMYFUNCTION("IMPORTRANGE(""https://docs.google.com/spreadsheets/d/1XL5vhW3sbDhbH9Cz0tuDiY8C3ctxq1tqvaCgkFb8cCA/edit?usp=sharing"",""บุรีรัมย์!M354"")"),161277.07)</f>
        <v>161277.07</v>
      </c>
      <c r="O459" s="169">
        <f t="shared" ca="1" si="116"/>
        <v>11.962426114284485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IFERROR(__xludf.DUMMYFUNCTION("IMPORTRANGE(""https://docs.google.com/spreadsheets/d/1XL5vhW3sbDhbH9Cz0tuDiY8C3ctxq1tqvaCgkFb8cCA/edit?usp=sharing"",""บุรีรัมย์!M357"")"),62833.32)</f>
        <v>62833.32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IFERROR(__xludf.DUMMYFUNCTION("IMPORTRANGE(""https://docs.google.com/spreadsheets/d/1XL5vhW3sbDhbH9Cz0tuDiY8C3ctxq1tqvaCgkFb8cCA/edit?usp=sharing"",""บุรีรัมย์!M358"")"),98443.75)</f>
        <v>98443.75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IFERROR(__xludf.DUMMYFUNCTION("IMPORTRANGE(""https://docs.google.com/spreadsheets/d/1XL5vhW3sbDhbH9Cz0tuDiY8C3ctxq1tqvaCgkFb8cCA/edit?usp=sharing"",""บุรีรัมย์!I359"")"),32922)</f>
        <v>32922</v>
      </c>
      <c r="J464" s="267">
        <f ca="1">IFERROR(__xludf.DUMMYFUNCTION("IMPORTRANGE(""https://docs.google.com/spreadsheets/d/1XL5vhW3sbDhbH9Cz0tuDiY8C3ctxq1tqvaCgkFb8cCA/edit?usp=sharing"",""บุรีรัมย์!J359"")"),32922)</f>
        <v>32922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IFERROR(__xludf.DUMMYFUNCTION("IMPORTRANGE(""https://docs.google.com/spreadsheets/d/1XL5vhW3sbDhbH9Cz0tuDiY8C3ctxq1tqvaCgkFb8cCA/edit?usp=sharing"",""บุรีรัมย์!J368"")"),32922)</f>
        <v>32922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IFERROR(__xludf.DUMMYFUNCTION("IMPORTRANGE(""https://docs.google.com/spreadsheets/d/1XL5vhW3sbDhbH9Cz0tuDiY8C3ctxq1tqvaCgkFb8cCA/edit?usp=sharing"",""บุรีรัมย์!J369"")"),5104)</f>
        <v>5104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IFERROR(__xludf.DUMMYFUNCTION("IMPORTRANGE(""https://docs.google.com/spreadsheets/d/1XL5vhW3sbDhbH9Cz0tuDiY8C3ctxq1tqvaCgkFb8cCA/edit?usp=sharing"",""บุรีรัมย์!J370"")"),24707)</f>
        <v>24707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IFERROR(__xludf.DUMMYFUNCTION("IMPORTRANGE(""https://docs.google.com/spreadsheets/d/1XL5vhW3sbDhbH9Cz0tuDiY8C3ctxq1tqvaCgkFb8cCA/edit?usp=sharing"",""บุรีรัมย์!J371"")"),4343)</f>
        <v>4343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IFERROR(__xludf.DUMMYFUNCTION("IMPORTRANGE(""https://docs.google.com/spreadsheets/d/1XL5vhW3sbDhbH9Cz0tuDiY8C3ctxq1tqvaCgkFb8cCA/edit?usp=sharing"",""บุรีรัมย์!J376"")"),32922)</f>
        <v>32922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IFERROR(__xludf.DUMMYFUNCTION("IMPORTRANGE(""https://docs.google.com/spreadsheets/d/1XL5vhW3sbDhbH9Cz0tuDiY8C3ctxq1tqvaCgkFb8cCA/edit?usp=sharing"",""บุรีรัมย์!J377"")"),5104)</f>
        <v>5104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IFERROR(__xludf.DUMMYFUNCTION("IMPORTRANGE(""https://docs.google.com/spreadsheets/d/1XL5vhW3sbDhbH9Cz0tuDiY8C3ctxq1tqvaCgkFb8cCA/edit?usp=sharing"",""บุรีรัมย์!J378"")"),24707)</f>
        <v>24707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IFERROR(__xludf.DUMMYFUNCTION("IMPORTRANGE(""https://docs.google.com/spreadsheets/d/1XL5vhW3sbDhbH9Cz0tuDiY8C3ctxq1tqvaCgkFb8cCA/edit?usp=sharing"",""บุรีรัมย์!J382"")"),936)</f>
        <v>936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IFERROR(__xludf.DUMMYFUNCTION("IMPORTRANGE(""https://docs.google.com/spreadsheets/d/1XL5vhW3sbDhbH9Cz0tuDiY8C3ctxq1tqvaCgkFb8cCA/edit?usp=sharing"",""บุรีรัมย์!J383"")"),106)</f>
        <v>106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IFERROR(__xludf.DUMMYFUNCTION("IMPORTRANGE(""https://docs.google.com/spreadsheets/d/1XL5vhW3sbDhbH9Cz0tuDiY8C3ctxq1tqvaCgkFb8cCA/edit?usp=sharing"",""บุรีรัมย์!J384"")"),936)</f>
        <v>936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IFERROR(__xludf.DUMMYFUNCTION("IMPORTRANGE(""https://docs.google.com/spreadsheets/d/1XL5vhW3sbDhbH9Cz0tuDiY8C3ctxq1tqvaCgkFb8cCA/edit?usp=sharing"",""บุรีรัมย์!J385"")"),106)</f>
        <v>106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IFERROR(__xludf.DUMMYFUNCTION("IMPORTRANGE(""https://docs.google.com/spreadsheets/d/1XL5vhW3sbDhbH9Cz0tuDiY8C3ctxq1tqvaCgkFb8cCA/edit?usp=sharing"",""บุรีรัมย์!J392"")"),8358)</f>
        <v>8358</v>
      </c>
      <c r="K497" s="444">
        <f t="shared" ca="1" si="117"/>
        <v>28.333163836062241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IFERROR(__xludf.DUMMYFUNCTION("IMPORTRANGE(""https://docs.google.com/spreadsheets/d/1XL5vhW3sbDhbH9Cz0tuDiY8C3ctxq1tqvaCgkFb8cCA/edit?usp=sharing"",""บุรีรัมย์!J393"")"),8358)</f>
        <v>8358</v>
      </c>
      <c r="K498" s="202">
        <f t="shared" ca="1" si="117"/>
        <v>28.333163836062241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IFERROR(__xludf.DUMMYFUNCTION("IMPORTRANGE(""https://docs.google.com/spreadsheets/d/1XL5vhW3sbDhbH9Cz0tuDiY8C3ctxq1tqvaCgkFb8cCA/edit?usp=sharing"",""บุรีรัมย์!J394"")"),894)</f>
        <v>894</v>
      </c>
      <c r="K499" s="202">
        <f t="shared" ca="1" si="117"/>
        <v>29.632084852502487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IFERROR(__xludf.DUMMYFUNCTION("IMPORTRANGE(""https://docs.google.com/spreadsheets/d/1XL5vhW3sbDhbH9Cz0tuDiY8C3ctxq1tqvaCgkFb8cCA/edit?usp=sharing"",""บุรีรัมย์!J395"")"),7991)</f>
        <v>7991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IFERROR(__xludf.DUMMYFUNCTION("IMPORTRANGE(""https://docs.google.com/spreadsheets/d/1XL5vhW3sbDhbH9Cz0tuDiY8C3ctxq1tqvaCgkFb8cCA/edit?usp=sharing"",""บุรีรัมย์!J396"")"),856)</f>
        <v>856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IFERROR(__xludf.DUMMYFUNCTION("IMPORTRANGE(""https://docs.google.com/spreadsheets/d/1XL5vhW3sbDhbH9Cz0tuDiY8C3ctxq1tqvaCgkFb8cCA/edit?usp=sharing"",""บุรีรัมย์!J397"")"),7971)</f>
        <v>7971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IFERROR(__xludf.DUMMYFUNCTION("IMPORTRANGE(""https://docs.google.com/spreadsheets/d/1XL5vhW3sbDhbH9Cz0tuDiY8C3ctxq1tqvaCgkFb8cCA/edit?usp=sharing"",""บุรีรัมย์!J398"")"),851)</f>
        <v>851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IFERROR(__xludf.DUMMYFUNCTION("IMPORTRANGE(""https://docs.google.com/spreadsheets/d/1XL5vhW3sbDhbH9Cz0tuDiY8C3ctxq1tqvaCgkFb8cCA/edit?usp=sharing"",""บุรีรัมย์!J399"")"),20)</f>
        <v>20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IFERROR(__xludf.DUMMYFUNCTION("IMPORTRANGE(""https://docs.google.com/spreadsheets/d/1XL5vhW3sbDhbH9Cz0tuDiY8C3ctxq1tqvaCgkFb8cCA/edit?usp=sharing"",""บุรีรัมย์!J403"")"),367)</f>
        <v>367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IFERROR(__xludf.DUMMYFUNCTION("IMPORTRANGE(""https://docs.google.com/spreadsheets/d/1XL5vhW3sbDhbH9Cz0tuDiY8C3ctxq1tqvaCgkFb8cCA/edit?usp=sharing"",""บุรีรัมย์!J404"")"),38)</f>
        <v>38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IFERROR(__xludf.DUMMYFUNCTION("IMPORTRANGE(""https://docs.google.com/spreadsheets/d/1XL5vhW3sbDhbH9Cz0tuDiY8C3ctxq1tqvaCgkFb8cCA/edit?usp=sharing"",""บุรีรัมย์!J405"")"),367)</f>
        <v>367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IFERROR(__xludf.DUMMYFUNCTION("IMPORTRANGE(""https://docs.google.com/spreadsheets/d/1XL5vhW3sbDhbH9Cz0tuDiY8C3ctxq1tqvaCgkFb8cCA/edit?usp=sharing"",""บุรีรัมย์!J406"")"),38)</f>
        <v>38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IFERROR(__xludf.DUMMYFUNCTION("IMPORTRANGE(""https://docs.google.com/spreadsheets/d/1XL5vhW3sbDhbH9Cz0tuDiY8C3ctxq1tqvaCgkFb8cCA/edit?usp=sharing"",""บุรีรัมย์!I411"")"),0)</f>
        <v>0</v>
      </c>
      <c r="J516" s="267">
        <f ca="1">IFERROR(__xludf.DUMMYFUNCTION("IMPORTRANGE(""https://docs.google.com/spreadsheets/d/1XL5vhW3sbDhbH9Cz0tuDiY8C3ctxq1tqvaCgkFb8cCA/edit?usp=sharing"",""บุรีรัมย์!J411"")"),0)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IFERROR(__xludf.DUMMYFUNCTION("IMPORTRANGE(""https://docs.google.com/spreadsheets/d/1XL5vhW3sbDhbH9Cz0tuDiY8C3ctxq1tqvaCgkFb8cCA/edit?usp=sharing"",""บุรีรัมย์!I412"")"),0)</f>
        <v>0</v>
      </c>
      <c r="J517" s="284">
        <f ca="1">IFERROR(__xludf.DUMMYFUNCTION("IMPORTRANGE(""https://docs.google.com/spreadsheets/d/1XL5vhW3sbDhbH9Cz0tuDiY8C3ctxq1tqvaCgkFb8cCA/edit?usp=sharing"",""บุรีรัมย์!J412"")"),0)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IFERROR(__xludf.DUMMYFUNCTION("IMPORTRANGE(""https://docs.google.com/spreadsheets/d/1XL5vhW3sbDhbH9Cz0tuDiY8C3ctxq1tqvaCgkFb8cCA/edit?usp=sharing"",""บุรีรัมย์!I413"")"),0)</f>
        <v>0</v>
      </c>
      <c r="J518" s="284">
        <f ca="1">IFERROR(__xludf.DUMMYFUNCTION("IMPORTRANGE(""https://docs.google.com/spreadsheets/d/1XL5vhW3sbDhbH9Cz0tuDiY8C3ctxq1tqvaCgkFb8cCA/edit?usp=sharing"",""บุรีรัมย์!J413"")"),0)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IFERROR(__xludf.DUMMYFUNCTION("IMPORTRANGE(""https://docs.google.com/spreadsheets/d/1XL5vhW3sbDhbH9Cz0tuDiY8C3ctxq1tqvaCgkFb8cCA/edit?usp=sharing"",""บุรีรัมย์!I420"")"),18)</f>
        <v>18</v>
      </c>
      <c r="J525" s="284">
        <f ca="1">IFERROR(__xludf.DUMMYFUNCTION("IMPORTRANGE(""https://docs.google.com/spreadsheets/d/1XL5vhW3sbDhbH9Cz0tuDiY8C3ctxq1tqvaCgkFb8cCA/edit?usp=sharing"",""บุรีรัมย์!J420"")"),0)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IFERROR(__xludf.DUMMYFUNCTION("IMPORTRANGE(""https://docs.google.com/spreadsheets/d/1XL5vhW3sbDhbH9Cz0tuDiY8C3ctxq1tqvaCgkFb8cCA/edit?usp=sharing"",""บุรีรัมย์!I421"")"),8)</f>
        <v>8</v>
      </c>
      <c r="J526" s="284">
        <f ca="1">IFERROR(__xludf.DUMMYFUNCTION("IMPORTRANGE(""https://docs.google.com/spreadsheets/d/1XL5vhW3sbDhbH9Cz0tuDiY8C3ctxq1tqvaCgkFb8cCA/edit?usp=sharing"",""บุรีรัมย์!J421"")"),0)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IFERROR(__xludf.DUMMYFUNCTION("IMPORTRANGE(""https://docs.google.com/spreadsheets/d/1XL5vhW3sbDhbH9Cz0tuDiY8C3ctxq1tqvaCgkFb8cCA/edit?usp=sharing"",""บุรีรัมย์!M428"")"),20300)</f>
        <v>20300</v>
      </c>
      <c r="O533" s="412">
        <f t="shared" ref="O533:O537" ca="1" si="118">+IF(L533&gt;0,N533*100/L533,0)</f>
        <v>59.114735002912056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IFERROR(__xludf.DUMMYFUNCTION("IMPORTRANGE(""https://docs.google.com/spreadsheets/d/1XL5vhW3sbDhbH9Cz0tuDiY8C3ctxq1tqvaCgkFb8cCA/edit?usp=sharing"",""บุรีรัมย์!M430"")"),20300)</f>
        <v>20300</v>
      </c>
      <c r="O535" s="169">
        <f t="shared" ca="1" si="118"/>
        <v>59.114735002912056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IFERROR(__xludf.DUMMYFUNCTION("IMPORTRANGE(""https://docs.google.com/spreadsheets/d/1XL5vhW3sbDhbH9Cz0tuDiY8C3ctxq1tqvaCgkFb8cCA/edit?usp=sharing"",""บุรีรัมย์!M432"")"),20300)</f>
        <v>20300</v>
      </c>
      <c r="O537" s="169">
        <f t="shared" ca="1" si="118"/>
        <v>59.114735002912056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IFERROR(__xludf.DUMMYFUNCTION("IMPORTRANGE(""https://docs.google.com/spreadsheets/d/1XL5vhW3sbDhbH9Cz0tuDiY8C3ctxq1tqvaCgkFb8cCA/edit?usp=sharing"",""บุรีรัมย์!M433"")"),13000)</f>
        <v>13000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IFERROR(__xludf.DUMMYFUNCTION("IMPORTRANGE(""https://docs.google.com/spreadsheets/d/1XL5vhW3sbDhbH9Cz0tuDiY8C3ctxq1tqvaCgkFb8cCA/edit?usp=sharing"",""บุรีรัมย์!M436"")"),7300)</f>
        <v>7300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IFERROR(__xludf.DUMMYFUNCTION("IMPORTRANGE(""https://docs.google.com/spreadsheets/d/1XL5vhW3sbDhbH9Cz0tuDiY8C3ctxq1tqvaCgkFb8cCA/edit?usp=sharing"",""บุรีรัมย์!J459"")"),8799)</f>
        <v>8799</v>
      </c>
      <c r="K564" s="372">
        <f ca="1">IF(I564&gt;0,J564*100/I564,0)</f>
        <v>179.57142857142858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IFERROR(__xludf.DUMMYFUNCTION("IMPORTRANGE(""https://docs.google.com/spreadsheets/d/1XL5vhW3sbDhbH9Cz0tuDiY8C3ctxq1tqvaCgkFb8cCA/edit?usp=sharing"",""บุรีรัมย์!M459"")"),68340.54)</f>
        <v>68340.539999999994</v>
      </c>
      <c r="O564" s="373">
        <f t="shared" ref="O564:O568" ca="1" si="122">+IF(L564&gt;0,N564*100/L564,0)</f>
        <v>41.168999999999997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IFERROR(__xludf.DUMMYFUNCTION("IMPORTRANGE(""https://docs.google.com/spreadsheets/d/1XL5vhW3sbDhbH9Cz0tuDiY8C3ctxq1tqvaCgkFb8cCA/edit?usp=sharing"",""บุรีรัมย์!M461"")"),68340.54)</f>
        <v>68340.539999999994</v>
      </c>
      <c r="O566" s="169">
        <f t="shared" ca="1" si="122"/>
        <v>41.168999999999997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IFERROR(__xludf.DUMMYFUNCTION("IMPORTRANGE(""https://docs.google.com/spreadsheets/d/1XL5vhW3sbDhbH9Cz0tuDiY8C3ctxq1tqvaCgkFb8cCA/edit?usp=sharing"",""บุรีรัมย์!M463"")"),68340.54)</f>
        <v>68340.539999999994</v>
      </c>
      <c r="O568" s="169">
        <f t="shared" ca="1" si="122"/>
        <v>41.168999999999997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IFERROR(__xludf.DUMMYFUNCTION("IMPORTRANGE(""https://docs.google.com/spreadsheets/d/1XL5vhW3sbDhbH9Cz0tuDiY8C3ctxq1tqvaCgkFb8cCA/edit?usp=sharing"",""บุรีรัมย์!M466"")"),63066.54)</f>
        <v>63066.54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IFERROR(__xludf.DUMMYFUNCTION("IMPORTRANGE(""https://docs.google.com/spreadsheets/d/1XL5vhW3sbDhbH9Cz0tuDiY8C3ctxq1tqvaCgkFb8cCA/edit?usp=sharing"",""บุรีรัมย์!M467"")"),5274)</f>
        <v>5274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IFERROR(__xludf.DUMMYFUNCTION("IMPORTRANGE(""https://docs.google.com/spreadsheets/d/1XL5vhW3sbDhbH9Cz0tuDiY8C3ctxq1tqvaCgkFb8cCA/edit?usp=sharing"",""บุรีรัมย์!J468"")"),8799)</f>
        <v>8799</v>
      </c>
      <c r="K573" s="202">
        <f ca="1">IF(I573&gt;0,J573*100/I573,0)</f>
        <v>179.57142857142858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IFERROR(__xludf.DUMMYFUNCTION("IMPORTRANGE(""https://docs.google.com/spreadsheets/d/1XL5vhW3sbDhbH9Cz0tuDiY8C3ctxq1tqvaCgkFb8cCA/edit?usp=sharing"",""บุรีรัมย์!J472"")"),8678)</f>
        <v>8678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IFERROR(__xludf.DUMMYFUNCTION("IMPORTRANGE(""https://docs.google.com/spreadsheets/d/1XL5vhW3sbDhbH9Cz0tuDiY8C3ctxq1tqvaCgkFb8cCA/edit?usp=sharing"",""บุรีรัมย์!M475"")"),15360)</f>
        <v>15360</v>
      </c>
      <c r="O580" s="373">
        <f t="shared" ref="O580:O584" ca="1" si="124">+IF(L580&gt;0,N580*100/L580,0)</f>
        <v>8.9281562427342482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IFERROR(__xludf.DUMMYFUNCTION("IMPORTRANGE(""https://docs.google.com/spreadsheets/d/1XL5vhW3sbDhbH9Cz0tuDiY8C3ctxq1tqvaCgkFb8cCA/edit?usp=sharing"",""บุรีรัมย์!L477"")"),172040)</f>
        <v>172040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IFERROR(__xludf.DUMMYFUNCTION("IMPORTRANGE(""https://docs.google.com/spreadsheets/d/1XL5vhW3sbDhbH9Cz0tuDiY8C3ctxq1tqvaCgkFb8cCA/edit?usp=sharing"",""บุรีรัมย์!M477"")"),15360)</f>
        <v>15360</v>
      </c>
      <c r="O582" s="169">
        <f t="shared" ca="1" si="124"/>
        <v>8.9281562427342482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IFERROR(__xludf.DUMMYFUNCTION("IMPORTRANGE(""https://docs.google.com/spreadsheets/d/1XL5vhW3sbDhbH9Cz0tuDiY8C3ctxq1tqvaCgkFb8cCA/edit?usp=sharing"",""บุรีรัมย์!L479"")"),172040)</f>
        <v>172040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IFERROR(__xludf.DUMMYFUNCTION("IMPORTRANGE(""https://docs.google.com/spreadsheets/d/1XL5vhW3sbDhbH9Cz0tuDiY8C3ctxq1tqvaCgkFb8cCA/edit?usp=sharing"",""บุรีรัมย์!M479"")"),15360)</f>
        <v>15360</v>
      </c>
      <c r="O584" s="169">
        <f t="shared" ca="1" si="124"/>
        <v>8.9281562427342482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IFERROR(__xludf.DUMMYFUNCTION("IMPORTRANGE(""https://docs.google.com/spreadsheets/d/1XL5vhW3sbDhbH9Cz0tuDiY8C3ctxq1tqvaCgkFb8cCA/edit?usp=sharing"",""บุรีรัมย์!M483"")"),15360)</f>
        <v>15360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IFERROR(__xludf.DUMMYFUNCTION("IMPORTRANGE(""https://docs.google.com/spreadsheets/d/1XL5vhW3sbDhbH9Cz0tuDiY8C3ctxq1tqvaCgkFb8cCA/edit?usp=sharing"",""บุรีรัมย์!J484"")"),42)</f>
        <v>42</v>
      </c>
      <c r="K589" s="163">
        <f t="shared" ref="K589:K596" ca="1" si="125">IF(I589&gt;0,J589*100/I589,0)</f>
        <v>105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IFERROR(__xludf.DUMMYFUNCTION("IMPORTRANGE(""https://docs.google.com/spreadsheets/d/1XL5vhW3sbDhbH9Cz0tuDiY8C3ctxq1tqvaCgkFb8cCA/edit?usp=sharing"",""บุรีรัมย์!J485"")"),15.37)</f>
        <v>15.37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IFERROR(__xludf.DUMMYFUNCTION("IMPORTRANGE(""https://docs.google.com/spreadsheets/d/1XL5vhW3sbDhbH9Cz0tuDiY8C3ctxq1tqvaCgkFb8cCA/edit?usp=sharing"",""บุรีรัมย์!I491"")"),0)</f>
        <v>0</v>
      </c>
      <c r="J596" s="241">
        <f ca="1">IFERROR(__xludf.DUMMYFUNCTION("IMPORTRANGE(""https://docs.google.com/spreadsheets/d/1XL5vhW3sbDhbH9Cz0tuDiY8C3ctxq1tqvaCgkFb8cCA/edit?usp=sharing"",""บุรีรัมย์!J491"")"),0)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7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IFERROR(__xludf.DUMMYFUNCTION("IMPORTRANGE(""https://docs.google.com/spreadsheets/d/1XL5vhW3sbDhbH9Cz0tuDiY8C3ctxq1tqvaCgkFb8cCA/edit?usp=sharing"",""บุรีรัมย์!L492"")"),7300)</f>
        <v>7300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IFERROR(__xludf.DUMMYFUNCTION("IMPORTRANGE(""https://docs.google.com/spreadsheets/d/1XL5vhW3sbDhbH9Cz0tuDiY8C3ctxq1tqvaCgkFb8cCA/edit?usp=sharing"",""บุรีรัมย์!L494"")"),7300)</f>
        <v>7300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IFERROR(__xludf.DUMMYFUNCTION("IMPORTRANGE(""https://docs.google.com/spreadsheets/d/1XL5vhW3sbDhbH9Cz0tuDiY8C3ctxq1tqvaCgkFb8cCA/edit?usp=sharing"",""บุรีรัมย์!L496"")"),7300)</f>
        <v>7300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IFERROR(__xludf.DUMMYFUNCTION("IMPORTRANGE(""https://docs.google.com/spreadsheets/d/1XL5vhW3sbDhbH9Cz0tuDiY8C3ctxq1tqvaCgkFb8cCA/edit?usp=sharing"",""บุรีรัมย์!J166"")"),0)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IFERROR(__xludf.DUMMYFUNCTION("IMPORTRANGE(""https://docs.google.com/spreadsheets/d/1XL5vhW3sbDhbH9Cz0tuDiY8C3ctxq1tqvaCgkFb8cCA/edit?usp=sharing"",""บุรีรัมย์!J166"")"),0)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IFERROR(__xludf.DUMMYFUNCTION("IMPORTRANGE(""https://docs.google.com/spreadsheets/d/1XL5vhW3sbDhbH9Cz0tuDiY8C3ctxq1tqvaCgkFb8cCA/edit?usp=sharing"",""บุรีรัมย์!J507"")"),57)</f>
        <v>57</v>
      </c>
      <c r="K612" s="163">
        <f t="shared" ca="1" si="127"/>
        <v>57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IFERROR(__xludf.DUMMYFUNCTION("IMPORTRANGE(""https://docs.google.com/spreadsheets/d/1XL5vhW3sbDhbH9Cz0tuDiY8C3ctxq1tqvaCgkFb8cCA/edit?usp=sharing"",""บุรีรัมย์!J508"")"),57)</f>
        <v>57</v>
      </c>
      <c r="K613" s="163">
        <f t="shared" ca="1" si="127"/>
        <v>57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IFERROR(__xludf.DUMMYFUNCTION("IMPORTRANGE(""https://docs.google.com/spreadsheets/d/1XL5vhW3sbDhbH9Cz0tuDiY8C3ctxq1tqvaCgkFb8cCA/edit?usp=sharing"",""บุรีรัมย์!J509"")"),57)</f>
        <v>57</v>
      </c>
      <c r="K614" s="163">
        <f t="shared" ca="1" si="127"/>
        <v>57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IFERROR(__xludf.DUMMYFUNCTION("IMPORTRANGE(""https://docs.google.com/spreadsheets/d/1XL5vhW3sbDhbH9Cz0tuDiY8C3ctxq1tqvaCgkFb8cCA/edit?usp=sharing"",""บุรีรัมย์!J510"")"),57)</f>
        <v>57</v>
      </c>
      <c r="K615" s="163">
        <f t="shared" ca="1" si="127"/>
        <v>57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1">
        <f ca="1">IFERROR(__xludf.DUMMYFUNCTION("IMPORTRANGE(""https://docs.google.com/spreadsheets/d/1XL5vhW3sbDhbH9Cz0tuDiY8C3ctxq1tqvaCgkFb8cCA/edit?usp=sharing"",""บุรีรัมย์!J523"")"),902559.07)</f>
        <v>902559.07</v>
      </c>
      <c r="K628" s="342">
        <f t="shared" ref="K628:K635" ca="1" si="129">IF(I628&gt;0,J628*100/I628,0)</f>
        <v>31.365061452627113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IFERROR(__xludf.DUMMYFUNCTION("IMPORTRANGE(""https://docs.google.com/spreadsheets/d/1XL5vhW3sbDhbH9Cz0tuDiY8C3ctxq1tqvaCgkFb8cCA/edit?usp=sharing"",""บุรีรัมย์!I524"")"),259)</f>
        <v>259</v>
      </c>
      <c r="J629" s="341">
        <f ca="1">IFERROR(__xludf.DUMMYFUNCTION("IMPORTRANGE(""https://docs.google.com/spreadsheets/d/1XL5vhW3sbDhbH9Cz0tuDiY8C3ctxq1tqvaCgkFb8cCA/edit?usp=sharing"",""บุรีรัมย์!J524"")"),73)</f>
        <v>73</v>
      </c>
      <c r="K629" s="342">
        <f t="shared" ca="1" si="129"/>
        <v>28.185328185328185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1">
        <f ca="1">IFERROR(__xludf.DUMMYFUNCTION("IMPORTRANGE(""https://docs.google.com/spreadsheets/d/1XL5vhW3sbDhbH9Cz0tuDiY8C3ctxq1tqvaCgkFb8cCA/edit?usp=sharing"",""บุรีรัมย์!J525"")"),1935585.06)</f>
        <v>1935585.06</v>
      </c>
      <c r="K630" s="342">
        <f t="shared" ca="1" si="129"/>
        <v>35.836439914965226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IFERROR(__xludf.DUMMYFUNCTION("IMPORTRANGE(""https://docs.google.com/spreadsheets/d/1XL5vhW3sbDhbH9Cz0tuDiY8C3ctxq1tqvaCgkFb8cCA/edit?usp=sharing"",""บุรีรัมย์!I526"")"),250)</f>
        <v>250</v>
      </c>
      <c r="J631" s="341">
        <f ca="1">IFERROR(__xludf.DUMMYFUNCTION("IMPORTRANGE(""https://docs.google.com/spreadsheets/d/1XL5vhW3sbDhbH9Cz0tuDiY8C3ctxq1tqvaCgkFb8cCA/edit?usp=sharing"",""บุรีรัมย์!J526"")"),163)</f>
        <v>163</v>
      </c>
      <c r="K631" s="342">
        <f t="shared" ca="1" si="129"/>
        <v>65.2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1">
        <f ca="1">IFERROR(__xludf.DUMMYFUNCTION("IMPORTRANGE(""https://docs.google.com/spreadsheets/d/1XL5vhW3sbDhbH9Cz0tuDiY8C3ctxq1tqvaCgkFb8cCA/edit?usp=sharing"",""บุรีรัมย์!J527"")"),918071.39)</f>
        <v>918071.39</v>
      </c>
      <c r="K632" s="342">
        <f t="shared" ca="1" si="129"/>
        <v>31.17625586913174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IFERROR(__xludf.DUMMYFUNCTION("IMPORTRANGE(""https://docs.google.com/spreadsheets/d/1XL5vhW3sbDhbH9Cz0tuDiY8C3ctxq1tqvaCgkFb8cCA/edit?usp=sharing"",""บุรีรัมย์!I528"")"),233)</f>
        <v>233</v>
      </c>
      <c r="J633" s="341">
        <f ca="1">IFERROR(__xludf.DUMMYFUNCTION("IMPORTRANGE(""https://docs.google.com/spreadsheets/d/1XL5vhW3sbDhbH9Cz0tuDiY8C3ctxq1tqvaCgkFb8cCA/edit?usp=sharing"",""บุรีรัมย์!J528"")"),188)</f>
        <v>188</v>
      </c>
      <c r="K633" s="342">
        <f t="shared" ca="1" si="129"/>
        <v>80.686695278969964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IFERROR(__xludf.DUMMYFUNCTION("IMPORTRANGE(""https://docs.google.com/spreadsheets/d/1XL5vhW3sbDhbH9Cz0tuDiY8C3ctxq1tqvaCgkFb8cCA/edit?usp=sharing"",""บุรีรัมย์!I529"")"),3000000)</f>
        <v>3000000</v>
      </c>
      <c r="J634" s="341">
        <f ca="1">IFERROR(__xludf.DUMMYFUNCTION("IMPORTRANGE(""https://docs.google.com/spreadsheets/d/1XL5vhW3sbDhbH9Cz0tuDiY8C3ctxq1tqvaCgkFb8cCA/edit?usp=sharing"",""บุรีรัมย์!J529"")"),0)</f>
        <v>0</v>
      </c>
      <c r="K634" s="342">
        <f t="shared" ca="1" si="129"/>
        <v>0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IFERROR(__xludf.DUMMYFUNCTION("IMPORTRANGE(""https://docs.google.com/spreadsheets/d/1XL5vhW3sbDhbH9Cz0tuDiY8C3ctxq1tqvaCgkFb8cCA/edit?usp=sharing"",""บุรีรัมย์!I530"")"),85)</f>
        <v>85</v>
      </c>
      <c r="J635" s="504">
        <f ca="1">IFERROR(__xludf.DUMMYFUNCTION("IMPORTRANGE(""https://docs.google.com/spreadsheets/d/1XL5vhW3sbDhbH9Cz0tuDiY8C3ctxq1tqvaCgkFb8cCA/edit?usp=sharing"",""บุรีรัมย์!J530"")"),0)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3635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3635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3635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IFERROR(__xludf.DUMMYFUNCTION("IMPORTRANGE(""https://docs.google.com/spreadsheets/d/1XL5vhW3sbDhbH9Cz0tuDiY8C3ctxq1tqvaCgkFb8cCA/edit#gid=346597447"",""บุรีรัมย์!J541"")"),0)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IFERROR(__xludf.DUMMYFUNCTION("IMPORTRANGE(""https://docs.google.com/spreadsheets/d/1XL5vhW3sbDhbH9Cz0tuDiY8C3ctxq1tqvaCgkFb8cCA/edit#gid=346597447"",""บุรีรัมย์!J542"")"),0)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IFERROR(__xludf.DUMMYFUNCTION("IMPORTRANGE(""https://docs.google.com/spreadsheets/d/1XL5vhW3sbDhbH9Cz0tuDiY8C3ctxq1tqvaCgkFb8cCA/edit#gid=346597447"",""บุรีรัมย์!I543"")"),0)</f>
        <v>0</v>
      </c>
      <c r="J648" s="585">
        <f ca="1">IFERROR(__xludf.DUMMYFUNCTION("IMPORTRANGE(""https://docs.google.com/spreadsheets/d/1XL5vhW3sbDhbH9Cz0tuDiY8C3ctxq1tqvaCgkFb8cCA/edit#gid=346597447"",""บุรีรัมย์!J543"")"),0)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IFERROR(__xludf.DUMMYFUNCTION("IMPORTRANGE(""https://docs.google.com/spreadsheets/d/1XL5vhW3sbDhbH9Cz0tuDiY8C3ctxq1tqvaCgkFb8cCA/edit#gid=346597447"",""บุรีรัมย์!L543"")"),0)</f>
        <v>0</v>
      </c>
      <c r="M648" s="570"/>
      <c r="N648" s="587">
        <f ca="1">IFERROR(__xludf.DUMMYFUNCTION("IMPORTRANGE(""https://docs.google.com/spreadsheets/d/1XL5vhW3sbDhbH9Cz0tuDiY8C3ctxq1tqvaCgkFb8cCA/edit#gid=346597447"",""บุรีรัมย์!M543"")"),0)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IFERROR(__xludf.DUMMYFUNCTION("IMPORTRANGE(""https://docs.google.com/spreadsheets/d/1XL5vhW3sbDhbH9Cz0tuDiY8C3ctxq1tqvaCgkFb8cCA/edit#gid=346597447"",""บุรีรัมย์!I544"")"),1)</f>
        <v>1</v>
      </c>
      <c r="J649" s="585">
        <f ca="1">IFERROR(__xludf.DUMMYFUNCTION("IMPORTRANGE(""https://docs.google.com/spreadsheets/d/1XL5vhW3sbDhbH9Cz0tuDiY8C3ctxq1tqvaCgkFb8cCA/edit#gid=346597447"",""บุรีรัมย์!J544"")"),0)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IFERROR(__xludf.DUMMYFUNCTION("IMPORTRANGE(""https://docs.google.com/spreadsheets/d/1XL5vhW3sbDhbH9Cz0tuDiY8C3ctxq1tqvaCgkFb8cCA/edit#gid=346597447"",""บุรีรัมย์!L544"")"),120)</f>
        <v>120</v>
      </c>
      <c r="M649" s="570"/>
      <c r="N649" s="587">
        <f ca="1">IFERROR(__xludf.DUMMYFUNCTION("IMPORTRANGE(""https://docs.google.com/spreadsheets/d/1XL5vhW3sbDhbH9Cz0tuDiY8C3ctxq1tqvaCgkFb8cCA/edit#gid=346597447"",""บุรีรัมย์!M544"")"),0)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IFERROR(__xludf.DUMMYFUNCTION("IMPORTRANGE(""https://docs.google.com/spreadsheets/d/1XL5vhW3sbDhbH9Cz0tuDiY8C3ctxq1tqvaCgkFb8cCA/edit#gid=346597447"",""บุรีรัมย์!I545"")"),10)</f>
        <v>10</v>
      </c>
      <c r="J650" s="585">
        <f ca="1">IFERROR(__xludf.DUMMYFUNCTION("IMPORTRANGE(""https://docs.google.com/spreadsheets/d/1XL5vhW3sbDhbH9Cz0tuDiY8C3ctxq1tqvaCgkFb8cCA/edit#gid=346597447"",""บุรีรัมย์!J545"")"),0)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IFERROR(__xludf.DUMMYFUNCTION("IMPORTRANGE(""https://docs.google.com/spreadsheets/d/1XL5vhW3sbDhbH9Cz0tuDiY8C3ctxq1tqvaCgkFb8cCA/edit#gid=346597447"",""บุรีรัมย์!L545"")"),50)</f>
        <v>50</v>
      </c>
      <c r="M650" s="570"/>
      <c r="N650" s="587">
        <f ca="1">IFERROR(__xludf.DUMMYFUNCTION("IMPORTRANGE(""https://docs.google.com/spreadsheets/d/1XL5vhW3sbDhbH9Cz0tuDiY8C3ctxq1tqvaCgkFb8cCA/edit#gid=346597447"",""บุรีรัมย์!M545"")"),0)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IFERROR(__xludf.DUMMYFUNCTION("IMPORTRANGE(""https://docs.google.com/spreadsheets/d/1XL5vhW3sbDhbH9Cz0tuDiY8C3ctxq1tqvaCgkFb8cCA/edit#gid=346597447"",""บุรีรัมย์!I546"")"),129)</f>
        <v>129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IFERROR(__xludf.DUMMYFUNCTION("IMPORTRANGE(""https://docs.google.com/spreadsheets/d/1XL5vhW3sbDhbH9Cz0tuDiY8C3ctxq1tqvaCgkFb8cCA/edit#gid=346597447"",""บุรีรัมย์!L546"")"),3225)</f>
        <v>3225</v>
      </c>
      <c r="M651" s="570"/>
      <c r="N651" s="587">
        <f ca="1">IFERROR(__xludf.DUMMYFUNCTION("IMPORTRANGE(""https://docs.google.com/spreadsheets/d/1XL5vhW3sbDhbH9Cz0tuDiY8C3ctxq1tqvaCgkFb8cCA/edit#gid=346597447"",""บุรีรัมย์!M546"")"),0)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IFERROR(__xludf.DUMMYFUNCTION("IMPORTRANGE(""https://docs.google.com/spreadsheets/d/1XL5vhW3sbDhbH9Cz0tuDiY8C3ctxq1tqvaCgkFb8cCA/edit#gid=346597447"",""บุรีรัมย์!J547"")"),0)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IFERROR(__xludf.DUMMYFUNCTION("IMPORTRANGE(""https://docs.google.com/spreadsheets/d/1XL5vhW3sbDhbH9Cz0tuDiY8C3ctxq1tqvaCgkFb8cCA/edit#gid=346597447"",""บุรีรัมย์!J548"")"),0)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IFERROR(__xludf.DUMMYFUNCTION("IMPORTRANGE(""https://docs.google.com/spreadsheets/d/1XL5vhW3sbDhbH9Cz0tuDiY8C3ctxq1tqvaCgkFb8cCA/edit#gid=346597447"",""บุรีรัมย์!J550"")"),0)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IFERROR(__xludf.DUMMYFUNCTION("IMPORTRANGE(""https://docs.google.com/spreadsheets/d/1XL5vhW3sbDhbH9Cz0tuDiY8C3ctxq1tqvaCgkFb8cCA/edit#gid=346597447"",""บุรีรัมย์!J551"")"),0)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IFERROR(__xludf.DUMMYFUNCTION("IMPORTRANGE(""https://docs.google.com/spreadsheets/d/1XL5vhW3sbDhbH9Cz0tuDiY8C3ctxq1tqvaCgkFb8cCA/edit#gid=346597447"",""บุรีรัมย์!J552"")"),0)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IFERROR(__xludf.DUMMYFUNCTION("IMPORTRANGE(""https://docs.google.com/spreadsheets/d/1XL5vhW3sbDhbH9Cz0tuDiY8C3ctxq1tqvaCgkFb8cCA/edit#gid=346597447"",""บุรีรัมย์!J553"")"),0)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IFERROR(__xludf.DUMMYFUNCTION("IMPORTRANGE(""https://docs.google.com/spreadsheets/d/1XL5vhW3sbDhbH9Cz0tuDiY8C3ctxq1tqvaCgkFb8cCA/edit#gid=346597447"",""บุรีรัมย์!J554"")"),0)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IFERROR(__xludf.DUMMYFUNCTION("IMPORTRANGE(""https://docs.google.com/spreadsheets/d/1XL5vhW3sbDhbH9Cz0tuDiY8C3ctxq1tqvaCgkFb8cCA/edit#gid=346597447"",""บุรีรัมย์!J555"")"),0)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IFERROR(__xludf.DUMMYFUNCTION("IMPORTRANGE(""https://docs.google.com/spreadsheets/d/1XL5vhW3sbDhbH9Cz0tuDiY8C3ctxq1tqvaCgkFb8cCA/edit#gid=346597447"",""บุรีรัมย์!J556"")"),0)</f>
        <v>0</v>
      </c>
      <c r="K661" s="586"/>
      <c r="L661" s="571">
        <f ca="1">IFERROR(__xludf.DUMMYFUNCTION("IMPORTRANGE(""https://docs.google.com/spreadsheets/d/1XL5vhW3sbDhbH9Cz0tuDiY8C3ctxq1tqvaCgkFb8cCA/edit#gid=346597447"",""บุรีรัมย์!L556"")"),0)</f>
        <v>0</v>
      </c>
      <c r="M661" s="570"/>
      <c r="N661" s="587">
        <f ca="1">IFERROR(__xludf.DUMMYFUNCTION("IMPORTRANGE(""https://docs.google.com/spreadsheets/d/1XL5vhW3sbDhbH9Cz0tuDiY8C3ctxq1tqvaCgkFb8cCA/edit#gid=346597447"",""บุรีรัมย์!M556"")"),0)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IFERROR(__xludf.DUMMYFUNCTION("IMPORTRANGE(""https://docs.google.com/spreadsheets/d/1XL5vhW3sbDhbH9Cz0tuDiY8C3ctxq1tqvaCgkFb8cCA/edit#gid=346597447"",""บุรีรัมย์!J557"")"),0)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IFERROR(__xludf.DUMMYFUNCTION("IMPORTRANGE(""https://docs.google.com/spreadsheets/d/1XL5vhW3sbDhbH9Cz0tuDiY8C3ctxq1tqvaCgkFb8cCA/edit#gid=346597447"",""บุรีรัมย์!I558"")"),0)</f>
        <v>0</v>
      </c>
      <c r="J663" s="585">
        <f ca="1">IFERROR(__xludf.DUMMYFUNCTION("IMPORTRANGE(""https://docs.google.com/spreadsheets/d/1XL5vhW3sbDhbH9Cz0tuDiY8C3ctxq1tqvaCgkFb8cCA/edit#gid=346597447"",""บุรีรัมย์!J558"")"),0)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IFERROR(__xludf.DUMMYFUNCTION("IMPORTRANGE(""https://docs.google.com/spreadsheets/d/1XL5vhW3sbDhbH9Cz0tuDiY8C3ctxq1tqvaCgkFb8cCA/edit#gid=346597447"",""บุรีรัมย์!I560"")"),2)</f>
        <v>2</v>
      </c>
      <c r="J665" s="585">
        <f ca="1">IFERROR(__xludf.DUMMYFUNCTION("IMPORTRANGE(""https://docs.google.com/spreadsheets/d/1XL5vhW3sbDhbH9Cz0tuDiY8C3ctxq1tqvaCgkFb8cCA/edit#gid=346597447"",""บุรีรัมย์!J560"")"),0)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IFERROR(__xludf.DUMMYFUNCTION("IMPORTRANGE(""https://docs.google.com/spreadsheets/d/1XL5vhW3sbDhbH9Cz0tuDiY8C3ctxq1tqvaCgkFb8cCA/edit#gid=346597447"",""บุรีรัมย์!L560"")"),240)</f>
        <v>240</v>
      </c>
      <c r="M665" s="570"/>
      <c r="N665" s="587">
        <f ca="1">IFERROR(__xludf.DUMMYFUNCTION("IMPORTRANGE(""https://docs.google.com/spreadsheets/d/1XL5vhW3sbDhbH9Cz0tuDiY8C3ctxq1tqvaCgkFb8cCA/edit#gid=346597447"",""บุรีรัมย์!M560"")"),0)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IFERROR(__xludf.DUMMYFUNCTION("IMPORTRANGE(""https://docs.google.com/spreadsheets/d/1XL5vhW3sbDhbH9Cz0tuDiY8C3ctxq1tqvaCgkFb8cCA/edit#gid=346597447"",""บุรีรัมย์!J561"")"),0)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IFERROR(__xludf.DUMMYFUNCTION("IMPORTRANGE(""https://docs.google.com/spreadsheets/d/1XL5vhW3sbDhbH9Cz0tuDiY8C3ctxq1tqvaCgkFb8cCA/edit#gid=346597447"",""บุรีรัมย์!J562"")"),0)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IFERROR(__xludf.DUMMYFUNCTION("IMPORTRANGE(""https://docs.google.com/spreadsheets/d/1XL5vhW3sbDhbH9Cz0tuDiY8C3ctxq1tqvaCgkFb8cCA/edit#gid=346597447"",""บุรีรัมย์!I563"")"),0)</f>
        <v>0</v>
      </c>
      <c r="J668" s="585">
        <f ca="1">IFERROR(__xludf.DUMMYFUNCTION("IMPORTRANGE(""https://docs.google.com/spreadsheets/d/1XL5vhW3sbDhbH9Cz0tuDiY8C3ctxq1tqvaCgkFb8cCA/edit#gid=346597447"",""บุรีรัมย์!J563"")"),0)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IFERROR(__xludf.DUMMYFUNCTION("IMPORTRANGE(""https://docs.google.com/spreadsheets/d/1XL5vhW3sbDhbH9Cz0tuDiY8C3ctxq1tqvaCgkFb8cCA/edit#gid=346597447"",""บุรีรัมย์!L563"")"),0)</f>
        <v>0</v>
      </c>
      <c r="M668" s="570"/>
      <c r="N668" s="587">
        <f ca="1">IFERROR(__xludf.DUMMYFUNCTION("IMPORTRANGE(""https://docs.google.com/spreadsheets/d/1XL5vhW3sbDhbH9Cz0tuDiY8C3ctxq1tqvaCgkFb8cCA/edit#gid=346597447"",""บุรีรัมย์!M563"")"),0)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IFERROR(__xludf.DUMMYFUNCTION("IMPORTRANGE(""https://docs.google.com/spreadsheets/d/1XL5vhW3sbDhbH9Cz0tuDiY8C3ctxq1tqvaCgkFb8cCA/edit#gid=346597447"",""บุรีรัมย์!J564"")"),0)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IFERROR(__xludf.DUMMYFUNCTION("IMPORTRANGE(""https://docs.google.com/spreadsheets/d/1XL5vhW3sbDhbH9Cz0tuDiY8C3ctxq1tqvaCgkFb8cCA/edit#gid=346597447"",""บุรีรัมย์!J565"")"),0)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IFERROR(__xludf.DUMMYFUNCTION("IMPORTRANGE(""https://docs.google.com/spreadsheets/d/1XL5vhW3sbDhbH9Cz0tuDiY8C3ctxq1tqvaCgkFb8cCA/edit#gid=346597447"",""บุรีรัมย์!I566"")"),0)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IFERROR(__xludf.DUMMYFUNCTION("IMPORTRANGE(""https://docs.google.com/spreadsheets/d/1XL5vhW3sbDhbH9Cz0tuDiY8C3ctxq1tqvaCgkFb8cCA/edit#gid=346597447"",""บุรีรัมย์!L566"")"),0)</f>
        <v>0</v>
      </c>
      <c r="M671" s="570"/>
      <c r="N671" s="587">
        <f ca="1">IFERROR(__xludf.DUMMYFUNCTION("IMPORTRANGE(""https://docs.google.com/spreadsheets/d/1XL5vhW3sbDhbH9Cz0tuDiY8C3ctxq1tqvaCgkFb8cCA/edit#gid=346597447"",""บุรีรัมย์!M566"")"),0)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IFERROR(__xludf.DUMMYFUNCTION("IMPORTRANGE(""https://docs.google.com/spreadsheets/d/1XL5vhW3sbDhbH9Cz0tuDiY8C3ctxq1tqvaCgkFb8cCA/edit#gid=346597447"",""บุรีรัมย์!J567"")"),0)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IFERROR(__xludf.DUMMYFUNCTION("IMPORTRANGE(""https://docs.google.com/spreadsheets/d/1XL5vhW3sbDhbH9Cz0tuDiY8C3ctxq1tqvaCgkFb8cCA/edit#gid=346597447"",""บุรีรัมย์!J568"")"),0)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IFERROR(__xludf.DUMMYFUNCTION("IMPORTRANGE(""https://docs.google.com/spreadsheets/d/1XL5vhW3sbDhbH9Cz0tuDiY8C3ctxq1tqvaCgkFb8cCA/edit#gid=346597447"",""บุรีรัมย์!J569"")"),0)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IFERROR(__xludf.DUMMYFUNCTION("IMPORTRANGE(""https://docs.google.com/spreadsheets/d/1XL5vhW3sbDhbH9Cz0tuDiY8C3ctxq1tqvaCgkFb8cCA/edit#gid=346597447"",""บุรีรัมย์!J570"")"),0)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IFERROR(__xludf.DUMMYFUNCTION("IMPORTRANGE(""https://docs.google.com/spreadsheets/d/1XL5vhW3sbDhbH9Cz0tuDiY8C3ctxq1tqvaCgkFb8cCA/edit#gid=346597447"",""บุรีรัมย์!J571"")"),0)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IFERROR(__xludf.DUMMYFUNCTION("IMPORTRANGE(""https://docs.google.com/spreadsheets/d/1XL5vhW3sbDhbH9Cz0tuDiY8C3ctxq1tqvaCgkFb8cCA/edit#gid=346597447"",""บุรีรัมย์!J572"")"),0)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G13" sqref="G13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5703125" customWidth="1"/>
    <col min="8" max="8" width="10.85546875" customWidth="1"/>
    <col min="9" max="9" width="16.5703125" bestFit="1" customWidth="1"/>
    <col min="10" max="10" width="14.85546875" bestFit="1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54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1:16" ht="18" customHeight="1" x14ac:dyDescent="0.25">
      <c r="A2" s="654" t="s">
        <v>274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6" ht="18" customHeight="1" x14ac:dyDescent="0.25">
      <c r="A3" s="654" t="s">
        <v>300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5" t="s">
        <v>2</v>
      </c>
      <c r="B5" s="661"/>
      <c r="C5" s="661"/>
      <c r="D5" s="661"/>
      <c r="E5" s="661"/>
      <c r="F5" s="661"/>
      <c r="G5" s="662"/>
      <c r="H5" s="684" t="s">
        <v>3</v>
      </c>
      <c r="I5" s="657" t="s">
        <v>4</v>
      </c>
      <c r="J5" s="648"/>
      <c r="K5" s="649"/>
      <c r="L5" s="658" t="s">
        <v>5</v>
      </c>
      <c r="M5" s="649"/>
      <c r="N5" s="659" t="s">
        <v>6</v>
      </c>
      <c r="O5" s="648"/>
      <c r="P5" s="649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48"/>
      <c r="C7" s="648"/>
      <c r="D7" s="648"/>
      <c r="E7" s="648"/>
      <c r="F7" s="648"/>
      <c r="G7" s="649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52" t="s">
        <v>17</v>
      </c>
      <c r="E8" s="641"/>
      <c r="F8" s="641"/>
      <c r="G8" s="641"/>
      <c r="H8" s="20" t="s">
        <v>12</v>
      </c>
      <c r="I8" s="21"/>
      <c r="J8" s="21"/>
      <c r="K8" s="22"/>
      <c r="L8" s="23">
        <f t="shared" ref="L8:N8" ca="1" si="0">L9+L10</f>
        <v>5625277</v>
      </c>
      <c r="M8" s="23">
        <f t="shared" ca="1" si="0"/>
        <v>2616864</v>
      </c>
      <c r="N8" s="23">
        <f t="shared" ca="1" si="0"/>
        <v>2690269.709999999</v>
      </c>
      <c r="O8" s="22">
        <f t="shared" ref="O8:O16" ca="1" si="1">IF(L8&gt;0,N8*100/L8,0)</f>
        <v>47.824661967757301</v>
      </c>
      <c r="P8" s="22">
        <f t="shared" ref="P8:P16" ca="1" si="2">IF(M8&gt;0,N8*100/M8,0)</f>
        <v>102.80510221394763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5625277</v>
      </c>
      <c r="M10" s="30">
        <f t="shared" ca="1" si="4"/>
        <v>2616864</v>
      </c>
      <c r="N10" s="30">
        <f t="shared" ca="1" si="4"/>
        <v>2690269.709999999</v>
      </c>
      <c r="O10" s="29">
        <f t="shared" ca="1" si="1"/>
        <v>47.824661967757301</v>
      </c>
      <c r="P10" s="29">
        <f t="shared" ca="1" si="2"/>
        <v>102.80510221394763</v>
      </c>
    </row>
    <row r="11" spans="1:16" ht="21.75" customHeight="1" x14ac:dyDescent="0.3">
      <c r="A11" s="31"/>
      <c r="B11" s="32"/>
      <c r="C11" s="33" t="s">
        <v>16</v>
      </c>
      <c r="D11" s="646" t="s">
        <v>20</v>
      </c>
      <c r="E11" s="643"/>
      <c r="F11" s="64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5487877</v>
      </c>
      <c r="M12" s="38">
        <f t="shared" ca="1" si="6"/>
        <v>2479464</v>
      </c>
      <c r="N12" s="38">
        <f t="shared" ca="1" si="6"/>
        <v>2552869.709999999</v>
      </c>
      <c r="O12" s="38">
        <f t="shared" ca="1" si="1"/>
        <v>46.518347805535711</v>
      </c>
      <c r="P12" s="38">
        <f t="shared" ca="1" si="2"/>
        <v>102.96054752156108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3712377</v>
      </c>
      <c r="M14" s="38">
        <f t="shared" si="8"/>
        <v>0</v>
      </c>
      <c r="N14" s="38">
        <f t="shared" ca="1" si="8"/>
        <v>732154.10999999894</v>
      </c>
      <c r="O14" s="38">
        <f t="shared" ca="1" si="1"/>
        <v>19.721976243253284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6" t="s">
        <v>23</v>
      </c>
      <c r="E15" s="64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48"/>
      <c r="C17" s="648"/>
      <c r="D17" s="648"/>
      <c r="E17" s="648"/>
      <c r="F17" s="648"/>
      <c r="G17" s="649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52" t="s">
        <v>17</v>
      </c>
      <c r="E18" s="641"/>
      <c r="F18" s="641"/>
      <c r="G18" s="641"/>
      <c r="H18" s="20" t="s">
        <v>12</v>
      </c>
      <c r="I18" s="21"/>
      <c r="J18" s="21"/>
      <c r="K18" s="22"/>
      <c r="L18" s="23">
        <f t="shared" ref="L18:N18" ca="1" si="11">L19+L20</f>
        <v>3259820</v>
      </c>
      <c r="M18" s="23">
        <f t="shared" ca="1" si="11"/>
        <v>2616864</v>
      </c>
      <c r="N18" s="23">
        <f t="shared" ca="1" si="11"/>
        <v>1958115.6</v>
      </c>
      <c r="O18" s="22">
        <f t="shared" ref="O18:O20" ca="1" si="12">IF(L18&gt;0,N18*100/L18,0)</f>
        <v>60.068212355283421</v>
      </c>
      <c r="P18" s="22">
        <f t="shared" ref="P18:P26" ca="1" si="13">IF(M18&gt;0,N18*100/M18,0)</f>
        <v>74.826800322829158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3259820</v>
      </c>
      <c r="M20" s="30">
        <f t="shared" ca="1" si="15"/>
        <v>2616864</v>
      </c>
      <c r="N20" s="30">
        <f t="shared" ca="1" si="15"/>
        <v>1958115.6</v>
      </c>
      <c r="O20" s="29">
        <f t="shared" ca="1" si="12"/>
        <v>60.068212355283421</v>
      </c>
      <c r="P20" s="29">
        <f t="shared" ca="1" si="13"/>
        <v>74.826800322829158</v>
      </c>
    </row>
    <row r="21" spans="1:16" ht="21.75" customHeight="1" x14ac:dyDescent="0.3">
      <c r="A21" s="31"/>
      <c r="B21" s="32"/>
      <c r="C21" s="33" t="s">
        <v>16</v>
      </c>
      <c r="D21" s="646" t="s">
        <v>20</v>
      </c>
      <c r="E21" s="643"/>
      <c r="F21" s="64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3122420</v>
      </c>
      <c r="M22" s="41">
        <f t="shared" ca="1" si="18"/>
        <v>2479464</v>
      </c>
      <c r="N22" s="38">
        <f t="shared" ca="1" si="18"/>
        <v>1820715.6</v>
      </c>
      <c r="O22" s="38">
        <f t="shared" ca="1" si="17"/>
        <v>58.311040795280583</v>
      </c>
      <c r="P22" s="38">
        <f t="shared" ca="1" si="13"/>
        <v>73.431822361607189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1346920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6" t="s">
        <v>23</v>
      </c>
      <c r="E25" s="64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48"/>
      <c r="C27" s="648"/>
      <c r="D27" s="648"/>
      <c r="E27" s="648"/>
      <c r="F27" s="648"/>
      <c r="G27" s="649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52" t="s">
        <v>17</v>
      </c>
      <c r="E28" s="641"/>
      <c r="F28" s="641"/>
      <c r="G28" s="641"/>
      <c r="H28" s="20" t="s">
        <v>12</v>
      </c>
      <c r="I28" s="21"/>
      <c r="J28" s="21"/>
      <c r="K28" s="22"/>
      <c r="L28" s="23">
        <f t="shared" ref="L28:N28" ca="1" si="23">L29+L30</f>
        <v>2365457</v>
      </c>
      <c r="M28" s="23">
        <f t="shared" si="23"/>
        <v>0</v>
      </c>
      <c r="N28" s="23">
        <f t="shared" ca="1" si="23"/>
        <v>732154.10999999894</v>
      </c>
      <c r="O28" s="22">
        <f t="shared" ref="O28:O30" ca="1" si="24">IF(L28&gt;0,N28*100/L28,0)</f>
        <v>30.951909504167649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2365457</v>
      </c>
      <c r="M30" s="30">
        <f t="shared" si="27"/>
        <v>0</v>
      </c>
      <c r="N30" s="30">
        <f t="shared" ca="1" si="27"/>
        <v>732154.10999999894</v>
      </c>
      <c r="O30" s="29">
        <f t="shared" ca="1" si="24"/>
        <v>30.951909504167649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6" t="s">
        <v>20</v>
      </c>
      <c r="E31" s="643"/>
      <c r="F31" s="64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2365457</v>
      </c>
      <c r="M32" s="38">
        <f t="shared" si="30"/>
        <v>0</v>
      </c>
      <c r="N32" s="38">
        <f t="shared" ca="1" si="30"/>
        <v>732154.10999999894</v>
      </c>
      <c r="O32" s="38">
        <f t="shared" ca="1" si="29"/>
        <v>30.951909504167649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2365457</v>
      </c>
      <c r="M34" s="38">
        <f t="shared" si="32"/>
        <v>0</v>
      </c>
      <c r="N34" s="38">
        <f t="shared" ca="1" si="32"/>
        <v>732154.10999999894</v>
      </c>
      <c r="O34" s="38">
        <f t="shared" ca="1" si="29"/>
        <v>30.951909504167649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6" t="s">
        <v>23</v>
      </c>
      <c r="E35" s="64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3259820</v>
      </c>
      <c r="M37" s="54">
        <f t="shared" ca="1" si="33"/>
        <v>2616864</v>
      </c>
      <c r="N37" s="54">
        <f t="shared" ca="1" si="33"/>
        <v>1958115.6</v>
      </c>
      <c r="O37" s="55">
        <f t="shared" ca="1" si="29"/>
        <v>60.068212355283421</v>
      </c>
      <c r="P37" s="55">
        <f t="shared" ca="1" si="25"/>
        <v>74.826800322829158</v>
      </c>
    </row>
    <row r="38" spans="1:16" ht="21.75" customHeight="1" x14ac:dyDescent="0.3">
      <c r="A38" s="681" t="s">
        <v>27</v>
      </c>
      <c r="B38" s="648"/>
      <c r="C38" s="648"/>
      <c r="D38" s="648"/>
      <c r="E38" s="648"/>
      <c r="F38" s="648"/>
      <c r="G38" s="649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2" t="s">
        <v>28</v>
      </c>
      <c r="C39" s="641"/>
      <c r="D39" s="641"/>
      <c r="E39" s="641"/>
      <c r="F39" s="641"/>
      <c r="G39" s="641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51" t="s">
        <v>17</v>
      </c>
      <c r="E41" s="643"/>
      <c r="F41" s="643"/>
      <c r="G41" s="643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507200</v>
      </c>
      <c r="N41" s="78">
        <f t="shared" ca="1" si="34"/>
        <v>377630.93</v>
      </c>
      <c r="O41" s="77">
        <f t="shared" ref="O41:O43" ca="1" si="35">IF(L41&gt;0,N41*100/L41,0)</f>
        <v>55.837783528020111</v>
      </c>
      <c r="P41" s="77">
        <f t="shared" ref="P41:P43" ca="1" si="36">IF(M41&gt;0,N41*100/M41,0)</f>
        <v>74.454047712933757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507200</v>
      </c>
      <c r="N43" s="78">
        <f t="shared" ca="1" si="38"/>
        <v>377630.93</v>
      </c>
      <c r="O43" s="77">
        <f t="shared" ca="1" si="35"/>
        <v>55.837783528020111</v>
      </c>
      <c r="P43" s="77">
        <f t="shared" ca="1" si="36"/>
        <v>74.454047712933757</v>
      </c>
    </row>
    <row r="44" spans="1:16" ht="21.75" customHeight="1" x14ac:dyDescent="0.3">
      <c r="A44" s="79"/>
      <c r="B44" s="80"/>
      <c r="C44" s="81" t="s">
        <v>16</v>
      </c>
      <c r="D44" s="642" t="s">
        <v>20</v>
      </c>
      <c r="E44" s="643"/>
      <c r="F44" s="64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622">
        <f ca="1">IFERROR(__xludf.DUMMYFUNCTION("IMPORTRANGE(""https://docs.google.com/spreadsheets/d/1Yj_ptqi66GCucihVvJfMjLAmec39IyEx_6qawtMGysU/edit?usp=sharing"",""สบก!Q45"")"),507200)</f>
        <v>507200</v>
      </c>
      <c r="N45" s="622">
        <f ca="1">IFERROR(__xludf.DUMMYFUNCTION("IMPORTRANGE(""https://docs.google.com/spreadsheets/d/1Yj_ptqi66GCucihVvJfMjLAmec39IyEx_6qawtMGysU/edit?usp=sharing"",""สบก!R45"")"),377630.93)</f>
        <v>377630.93</v>
      </c>
      <c r="O45" s="623">
        <f ca="1">IF(L45&gt;0,N45*100/L45,0)</f>
        <v>55.837783528020111</v>
      </c>
      <c r="P45" s="623">
        <f ca="1">IF(M45&gt;0,N45*100/M45,0)</f>
        <v>74.454047712933757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IFERROR(__xludf.DUMMYFUNCTION("IMPORTRANGE(""https://docs.google.com/spreadsheets/d/1Yj_ptqi66GCucihVvJfMjLAmec39IyEx_6qawtMGysU/edit?usp=sharing"",""สบก!M45"")"),676300)</f>
        <v>676300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IFERROR(__xludf.DUMMYFUNCTION("IMPORTRANGE(""https://docs.google.com/spreadsheets/d/1Yj_ptqi66GCucihVvJfMjLAmec39IyEx_6qawtMGysU/edit?usp=sharing"",""สบก!N45"")"),0)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2" t="s">
        <v>23</v>
      </c>
      <c r="E48" s="64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IFERROR(__xludf.DUMMYFUNCTION("IMPORTRANGE(""https://docs.google.com/spreadsheets/d/1Yj_ptqi66GCucihVvJfMjLAmec39IyEx_6qawtMGysU/edit?usp=sharing"",""สบก!O45"")"),0)</f>
        <v>0</v>
      </c>
      <c r="M49" s="625"/>
      <c r="N49" s="622">
        <f ca="1">IFERROR(__xludf.DUMMYFUNCTION("IMPORTRANGE(""https://docs.google.com/spreadsheets/d/1Yj_ptqi66GCucihVvJfMjLAmec39IyEx_6qawtMGysU/edit?usp=sharing"",""สบก!S45"")"),0)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4" t="s">
        <v>32</v>
      </c>
      <c r="C52" s="643"/>
      <c r="D52" s="643"/>
      <c r="E52" s="643"/>
      <c r="F52" s="643"/>
      <c r="G52" s="64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5" t="s">
        <v>17</v>
      </c>
      <c r="E53" s="643"/>
      <c r="F53" s="643"/>
      <c r="G53" s="643"/>
      <c r="H53" s="118" t="s">
        <v>12</v>
      </c>
      <c r="I53" s="119"/>
      <c r="J53" s="119"/>
      <c r="K53" s="120"/>
      <c r="L53" s="121">
        <f t="shared" ref="L53:N53" ca="1" si="39">L54+L55</f>
        <v>470400</v>
      </c>
      <c r="M53" s="121">
        <f t="shared" ca="1" si="39"/>
        <v>372514</v>
      </c>
      <c r="N53" s="121">
        <f t="shared" ca="1" si="39"/>
        <v>324470</v>
      </c>
      <c r="O53" s="120">
        <f t="shared" ref="O53:O55" ca="1" si="40">IF(L53&gt;0,N53*100/L53,0)</f>
        <v>68.977465986394563</v>
      </c>
      <c r="P53" s="120">
        <f t="shared" ref="P53:P55" ca="1" si="41">IF(M53&gt;0,N53*100/M53,0)</f>
        <v>87.102766607429515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470400</v>
      </c>
      <c r="M55" s="121">
        <f t="shared" ca="1" si="43"/>
        <v>372514</v>
      </c>
      <c r="N55" s="121">
        <f t="shared" ca="1" si="43"/>
        <v>324470</v>
      </c>
      <c r="O55" s="120">
        <f t="shared" ca="1" si="40"/>
        <v>68.977465986394563</v>
      </c>
      <c r="P55" s="120">
        <f t="shared" ca="1" si="41"/>
        <v>87.102766607429515</v>
      </c>
    </row>
    <row r="56" spans="1:16" ht="21.75" customHeight="1" x14ac:dyDescent="0.3">
      <c r="A56" s="79"/>
      <c r="B56" s="80"/>
      <c r="C56" s="81" t="s">
        <v>16</v>
      </c>
      <c r="D56" s="642" t="s">
        <v>20</v>
      </c>
      <c r="E56" s="643"/>
      <c r="F56" s="64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470400</v>
      </c>
      <c r="M57" s="622">
        <f ca="1">IFERROR(__xludf.DUMMYFUNCTION("IMPORTRANGE(""https://docs.google.com/spreadsheets/d/1Yj_ptqi66GCucihVvJfMjLAmec39IyEx_6qawtMGysU/edit?usp=sharing"",""สบก!Z45"")"),372514)</f>
        <v>372514</v>
      </c>
      <c r="N57" s="622">
        <f ca="1">IFERROR(__xludf.DUMMYFUNCTION("IMPORTRANGE(""https://docs.google.com/spreadsheets/d/1Yj_ptqi66GCucihVvJfMjLAmec39IyEx_6qawtMGysU/edit?usp=sharing"",""สบก!AA45"")"),324470)</f>
        <v>324470</v>
      </c>
      <c r="O57" s="623">
        <f ca="1">IF(L57&gt;0,N57*100/L57,0)</f>
        <v>68.977465986394563</v>
      </c>
      <c r="P57" s="623">
        <f ca="1">IF(M57&gt;0,N57*100/M57,0)</f>
        <v>87.102766607429515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IFERROR(__xludf.DUMMYFUNCTION("IMPORTRANGE(""https://docs.google.com/spreadsheets/d/1Yj_ptqi66GCucihVvJfMjLAmec39IyEx_6qawtMGysU/edit?usp=sharing"",""สบก!V45"")"),470400)</f>
        <v>470400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IFERROR(__xludf.DUMMYFUNCTION("IMPORTRANGE(""https://docs.google.com/spreadsheets/d/1Yj_ptqi66GCucihVvJfMjLAmec39IyEx_6qawtMGysU/edit?usp=sharing"",""สบก!W45"")"),0)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2" t="s">
        <v>23</v>
      </c>
      <c r="E60" s="64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IFERROR(__xludf.DUMMYFUNCTION("IMPORTRANGE(""https://docs.google.com/spreadsheets/d/1Yj_ptqi66GCucihVvJfMjLAmec39IyEx_6qawtMGysU/edit?usp=sharing"",""สบก!X45"")"),0)</f>
        <v>0</v>
      </c>
      <c r="M61" s="625"/>
      <c r="N61" s="622">
        <f ca="1">IFERROR(__xludf.DUMMYFUNCTION("IMPORTRANGE(""https://docs.google.com/spreadsheets/d/1Yj_ptqi66GCucihVvJfMjLAmec39IyEx_6qawtMGysU/edit?usp=sharing"",""สบก!AB45"")"),0)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0" t="s">
        <v>17</v>
      </c>
      <c r="E66" s="641"/>
      <c r="F66" s="641"/>
      <c r="G66" s="641"/>
      <c r="H66" s="149" t="s">
        <v>12</v>
      </c>
      <c r="I66" s="150"/>
      <c r="J66" s="150"/>
      <c r="K66" s="151"/>
      <c r="L66" s="152">
        <f t="shared" ref="L66:N66" ca="1" si="45">L67+L68</f>
        <v>1064200</v>
      </c>
      <c r="M66" s="152">
        <f t="shared" ca="1" si="45"/>
        <v>897000</v>
      </c>
      <c r="N66" s="152">
        <f t="shared" ca="1" si="45"/>
        <v>646647.81999999995</v>
      </c>
      <c r="O66" s="151">
        <f t="shared" ref="O66:O68" ca="1" si="46">IF(L66&gt;0,N66*100/L66,0)</f>
        <v>60.763749295245248</v>
      </c>
      <c r="P66" s="151">
        <f t="shared" ref="P66:P68" ca="1" si="47">IF(M66&gt;0,N66*100/M66,0)</f>
        <v>72.090057971014488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1064200</v>
      </c>
      <c r="M68" s="157">
        <f t="shared" ca="1" si="49"/>
        <v>897000</v>
      </c>
      <c r="N68" s="157">
        <f t="shared" ca="1" si="49"/>
        <v>646647.81999999995</v>
      </c>
      <c r="O68" s="156">
        <f t="shared" ca="1" si="46"/>
        <v>60.763749295245248</v>
      </c>
      <c r="P68" s="156">
        <f t="shared" ca="1" si="47"/>
        <v>72.090057971014488</v>
      </c>
    </row>
    <row r="69" spans="1:16" ht="21.75" customHeight="1" x14ac:dyDescent="0.3">
      <c r="A69" s="158"/>
      <c r="B69" s="159"/>
      <c r="C69" s="159" t="s">
        <v>16</v>
      </c>
      <c r="D69" s="642" t="s">
        <v>20</v>
      </c>
      <c r="E69" s="643"/>
      <c r="F69" s="64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1019200</v>
      </c>
      <c r="M70" s="626">
        <f ca="1">IFERROR(__xludf.DUMMYFUNCTION("IMPORTRANGE(""https://docs.google.com/spreadsheets/d/1Yj_ptqi66GCucihVvJfMjLAmec39IyEx_6qawtMGysU/edit?usp=sharing"",""สบก!AI45"")"),852000)</f>
        <v>852000</v>
      </c>
      <c r="N70" s="627">
        <f ca="1">IFERROR(__xludf.DUMMYFUNCTION("IMPORTRANGE(""https://docs.google.com/spreadsheets/d/1Yj_ptqi66GCucihVvJfMjLAmec39IyEx_6qawtMGysU/edit?usp=sharing"",""สบก!AJ45"")"),601647.82)</f>
        <v>601647.81999999995</v>
      </c>
      <c r="O70" s="169">
        <f ca="1">IF(L70&gt;0,N70*100/L70,0)</f>
        <v>59.031379513343794</v>
      </c>
      <c r="P70" s="169">
        <f ca="1">IF(M70&gt;0,N70*100/M70,0)</f>
        <v>70.615941314553979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IFERROR(__xludf.DUMMYFUNCTION("IMPORTRANGE(""https://docs.google.com/spreadsheets/d/1Yj_ptqi66GCucihVvJfMjLAmec39IyEx_6qawtMGysU/edit?usp=sharing"",""สบก!AF45"")"),696400)</f>
        <v>696400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2" t="s">
        <v>23</v>
      </c>
      <c r="E73" s="643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IFERROR(__xludf.DUMMYFUNCTION("IMPORTRANGE(""https://docs.google.com/spreadsheets/d/1Yj_ptqi66GCucihVvJfMjLAmec39IyEx_6qawtMGysU/edit?usp=sharing"",""สบก!AG45"")"),45000)</f>
        <v>45000</v>
      </c>
      <c r="M74" s="625">
        <f ca="1">L74</f>
        <v>45000</v>
      </c>
      <c r="N74" s="622">
        <f ca="1">IFERROR(__xludf.DUMMYFUNCTION("IMPORTRANGE(""https://docs.google.com/spreadsheets/d/1Yj_ptqi66GCucihVvJfMjLAmec39IyEx_6qawtMGysU/edit?usp=sharing"",""สบก!AK45"")"),45000)</f>
        <v>45000</v>
      </c>
      <c r="O74" s="625">
        <f ca="1">IF(L74&gt;0,N74*100/L74,0)</f>
        <v>100</v>
      </c>
      <c r="P74" s="625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181" t="s">
        <v>37</v>
      </c>
      <c r="I88" s="203">
        <f ca="1">IFERROR(__xludf.DUMMYFUNCTION("IMPORTRANGE(""https://docs.google.com/spreadsheets/d/1XL5vhW3sbDhbH9Cz0tuDiY8C3ctxq1tqvaCgkFb8cCA/edit?usp=sharing"",""มหาสารคาม!I28"")"),37)</f>
        <v>37</v>
      </c>
      <c r="J88" s="204">
        <f ca="1">IFERROR(__xludf.DUMMYFUNCTION("IMPORTRANGE(""https://docs.google.com/spreadsheets/d/1XL5vhW3sbDhbH9Cz0tuDiY8C3ctxq1tqvaCgkFb8cCA/edit?usp=sharing"",""มหาสารคาม!J28"")"),0)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6">
        <v>3</v>
      </c>
      <c r="E90" s="207" t="s">
        <v>54</v>
      </c>
      <c r="F90" s="208"/>
      <c r="G90" s="209"/>
      <c r="H90" s="187"/>
      <c r="I90" s="188"/>
      <c r="J90" s="210">
        <f ca="1">IFERROR(__xludf.DUMMYFUNCTION("IMPORTRANGE(""https://docs.google.com/spreadsheets/d/1XL5vhW3sbDhbH9Cz0tuDiY8C3ctxq1tqvaCgkFb8cCA/edit?usp=sharing"",""มหาสารคาม!J30"")"),0)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0" t="s">
        <v>17</v>
      </c>
      <c r="E94" s="641"/>
      <c r="F94" s="641"/>
      <c r="G94" s="641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142641</v>
      </c>
      <c r="O94" s="151">
        <f t="shared" ref="O94:O96" ca="1" si="53">IF(L94&gt;0,N94*100/L94,0)</f>
        <v>66.499300699300704</v>
      </c>
      <c r="P94" s="151">
        <f t="shared" ref="P94:P96" ca="1" si="54">IF(M94&gt;0,N94*100/M94,0)</f>
        <v>73.35424648376231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142641</v>
      </c>
      <c r="O96" s="156">
        <f t="shared" ca="1" si="53"/>
        <v>66.499300699300704</v>
      </c>
      <c r="P96" s="156">
        <f t="shared" ca="1" si="54"/>
        <v>73.35424648376231</v>
      </c>
    </row>
    <row r="97" spans="1:16" ht="21.75" customHeight="1" x14ac:dyDescent="0.3">
      <c r="A97" s="158"/>
      <c r="B97" s="159"/>
      <c r="C97" s="159" t="s">
        <v>16</v>
      </c>
      <c r="D97" s="642" t="s">
        <v>20</v>
      </c>
      <c r="E97" s="643"/>
      <c r="F97" s="64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IFERROR(__xludf.DUMMYFUNCTION("IMPORTRANGE(""https://docs.google.com/spreadsheets/d/1Yj_ptqi66GCucihVvJfMjLAmec39IyEx_6qawtMGysU/edit?usp=sharing"",""สบก!AR45"")"),102055)</f>
        <v>102055</v>
      </c>
      <c r="N98" s="627">
        <f ca="1">IFERROR(__xludf.DUMMYFUNCTION("IMPORTRANGE(""https://docs.google.com/spreadsheets/d/1Yj_ptqi66GCucihVvJfMjLAmec39IyEx_6qawtMGysU/edit?usp=sharing"",""สบก!AS45"")"),50241)</f>
        <v>50241</v>
      </c>
      <c r="O98" s="169">
        <f ca="1">IF(L98&gt;0,N98*100/L98,0)</f>
        <v>41.147420147420149</v>
      </c>
      <c r="P98" s="169">
        <f ca="1">IF(M98&gt;0,N98*100/M98,0)</f>
        <v>49.229337122140024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4"/>
      <c r="L100" s="626">
        <f ca="1">IFERROR(__xludf.DUMMYFUNCTION("IMPORTRANGE(""https://docs.google.com/spreadsheets/d/1Yj_ptqi66GCucihVvJfMjLAmec39IyEx_6qawtMGysU/edit?usp=sharing"",""สบก!AO45"")"),122100)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2" t="s">
        <v>23</v>
      </c>
      <c r="E101" s="643"/>
      <c r="F101" s="89"/>
      <c r="G101" s="82" t="s">
        <v>18</v>
      </c>
      <c r="H101" s="172" t="s">
        <v>12</v>
      </c>
      <c r="I101" s="188"/>
      <c r="J101" s="188"/>
      <c r="K101" s="224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4"/>
      <c r="L102" s="622">
        <f ca="1">IFERROR(__xludf.DUMMYFUNCTION("IMPORTRANGE(""https://docs.google.com/spreadsheets/d/1Yj_ptqi66GCucihVvJfMjLAmec39IyEx_6qawtMGysU/edit?usp=sharing"",""สบก!AP45"")"),92400)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IFERROR(__xludf.DUMMYFUNCTION("IMPORTRANGE(""https://docs.google.com/spreadsheets/d/1Yj_ptqi66GCucihVvJfMjLAmec39IyEx_6qawtMGysU/edit?usp=sharing"",""สบก!AT45"")"),92400)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4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4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IFERROR(__xludf.DUMMYFUNCTION("IMPORTRANGE(""https://docs.google.com/spreadsheets/d/1XL5vhW3sbDhbH9Cz0tuDiY8C3ctxq1tqvaCgkFb8cCA/edit?usp=sharing"",""มหาสารคาม!J40"")"),1)</f>
        <v>1</v>
      </c>
      <c r="K105" s="224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IFERROR(__xludf.DUMMYFUNCTION("IMPORTRANGE(""https://docs.google.com/spreadsheets/d/1XL5vhW3sbDhbH9Cz0tuDiY8C3ctxq1tqvaCgkFb8cCA/edit?usp=sharing"",""มหาสารคาม!J41"")"),1)</f>
        <v>1</v>
      </c>
      <c r="K106" s="224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IFERROR(__xludf.DUMMYFUNCTION("IMPORTRANGE(""https://docs.google.com/spreadsheets/d/1XL5vhW3sbDhbH9Cz0tuDiY8C3ctxq1tqvaCgkFb8cCA/edit?usp=sharing"",""มหาสารคาม!J42"")"),1)</f>
        <v>1</v>
      </c>
      <c r="K107" s="224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4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4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5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4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5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4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6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4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4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4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6">
        <v>3</v>
      </c>
      <c r="E115" s="207" t="s">
        <v>54</v>
      </c>
      <c r="F115" s="208"/>
      <c r="G115" s="209"/>
      <c r="H115" s="187"/>
      <c r="I115" s="188"/>
      <c r="J115" s="227">
        <f ca="1">IFERROR(__xludf.DUMMYFUNCTION("IMPORTRANGE(""https://docs.google.com/spreadsheets/d/1XL5vhW3sbDhbH9Cz0tuDiY8C3ctxq1tqvaCgkFb8cCA/edit?usp=sharing"",""มหาสารคาม!J50"")"),0)</f>
        <v>0</v>
      </c>
      <c r="K115" s="224"/>
      <c r="L115" s="169"/>
      <c r="M115" s="169"/>
      <c r="N115" s="169"/>
      <c r="O115" s="182"/>
      <c r="P115" s="182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0" t="s">
        <v>17</v>
      </c>
      <c r="E118" s="641"/>
      <c r="F118" s="641"/>
      <c r="G118" s="641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2" t="s">
        <v>20</v>
      </c>
      <c r="E121" s="643"/>
      <c r="F121" s="64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IFERROR(__xludf.DUMMYFUNCTION("IMPORTRANGE(""https://docs.google.com/spreadsheets/d/1Yj_ptqi66GCucihVvJfMjLAmec39IyEx_6qawtMGysU/edit?usp=sharing"",""สบก!BA45"")"),0)</f>
        <v>0</v>
      </c>
      <c r="N122" s="627">
        <f ca="1">IFERROR(__xludf.DUMMYFUNCTION("IMPORTRANGE(""https://docs.google.com/spreadsheets/d/1Yj_ptqi66GCucihVvJfMjLAmec39IyEx_6qawtMGysU/edit?usp=sharing"",""สบก!BB45"")"),0)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4"/>
      <c r="L124" s="626">
        <f ca="1">IFERROR(__xludf.DUMMYFUNCTION("IMPORTRANGE(""https://docs.google.com/spreadsheets/d/1Yj_ptqi66GCucihVvJfMjLAmec39IyEx_6qawtMGysU/edit?usp=sharing"",""สบก!AX45"")"),0)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2" t="s">
        <v>23</v>
      </c>
      <c r="E125" s="643"/>
      <c r="F125" s="89"/>
      <c r="G125" s="82" t="s">
        <v>18</v>
      </c>
      <c r="H125" s="172" t="s">
        <v>12</v>
      </c>
      <c r="I125" s="188"/>
      <c r="J125" s="188"/>
      <c r="K125" s="224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4"/>
      <c r="L126" s="622">
        <f ca="1">IFERROR(__xludf.DUMMYFUNCTION("IMPORTRANGE(""https://docs.google.com/spreadsheets/d/1Yj_ptqi66GCucihVvJfMjLAmec39IyEx_6qawtMGysU/edit?usp=sharing"",""สบก!AY45"")"),0)</f>
        <v>0</v>
      </c>
      <c r="M126" s="625"/>
      <c r="N126" s="622">
        <f ca="1">IFERROR(__xludf.DUMMYFUNCTION("IMPORTRANGE(""https://docs.google.com/spreadsheets/d/1Yj_ptqi66GCucihVvJfMjLAmec39IyEx_6qawtMGysU/edit?usp=sharing"",""สบก!BC45"")"),0)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3" t="s">
        <v>275</v>
      </c>
      <c r="E127" s="179"/>
      <c r="F127" s="179"/>
      <c r="G127" s="180"/>
      <c r="H127" s="181"/>
      <c r="I127" s="162"/>
      <c r="J127" s="188"/>
      <c r="K127" s="224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4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4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4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4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4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4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4"/>
      <c r="L134" s="169"/>
      <c r="M134" s="169"/>
      <c r="N134" s="169"/>
      <c r="O134" s="182"/>
      <c r="P134" s="182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IFERROR(__xludf.DUMMYFUNCTION("IMPORTRANGE(""https://docs.google.com/spreadsheets/d/1XL5vhW3sbDhbH9Cz0tuDiY8C3ctxq1tqvaCgkFb8cCA/edit?usp=sharing"",""มหาสารคาม!J65"")"),0)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IFERROR(__xludf.DUMMYFUNCTION("IMPORTRANGE(""https://docs.google.com/spreadsheets/d/1XL5vhW3sbDhbH9Cz0tuDiY8C3ctxq1tqvaCgkFb8cCA/edit?usp=sharing"",""มหาสารคาม!I68"")"),0)</f>
        <v>0</v>
      </c>
      <c r="J138" s="267">
        <f ca="1">IFERROR(__xludf.DUMMYFUNCTION("IMPORTRANGE(""https://docs.google.com/spreadsheets/d/1XL5vhW3sbDhbH9Cz0tuDiY8C3ctxq1tqvaCgkFb8cCA/edit?usp=sharing"",""มหาสารคาม!J68"")"),0)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640" t="s">
        <v>17</v>
      </c>
      <c r="E140" s="641"/>
      <c r="F140" s="641"/>
      <c r="G140" s="641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69625</v>
      </c>
      <c r="N140" s="152">
        <f t="shared" ca="1" si="64"/>
        <v>46538</v>
      </c>
      <c r="O140" s="151">
        <f t="shared" ref="O140:O142" ca="1" si="65">IF(L140&gt;0,N140*100/L140,0)</f>
        <v>47.731282051282051</v>
      </c>
      <c r="P140" s="151">
        <f t="shared" ref="P140:P142" ca="1" si="66">IF(M140&gt;0,N140*100/M140,0)</f>
        <v>66.840933572710952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69625</v>
      </c>
      <c r="N142" s="157">
        <f t="shared" ca="1" si="68"/>
        <v>46538</v>
      </c>
      <c r="O142" s="156">
        <f t="shared" ca="1" si="65"/>
        <v>47.731282051282051</v>
      </c>
      <c r="P142" s="156">
        <f t="shared" ca="1" si="66"/>
        <v>66.840933572710952</v>
      </c>
    </row>
    <row r="143" spans="1:16" ht="21.75" customHeight="1" x14ac:dyDescent="0.3">
      <c r="A143" s="158"/>
      <c r="B143" s="159"/>
      <c r="C143" s="159" t="s">
        <v>16</v>
      </c>
      <c r="D143" s="642" t="s">
        <v>20</v>
      </c>
      <c r="E143" s="643"/>
      <c r="F143" s="64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626">
        <f ca="1">IFERROR(__xludf.DUMMYFUNCTION("IMPORTRANGE(""https://docs.google.com/spreadsheets/d/1Yj_ptqi66GCucihVvJfMjLAmec39IyEx_6qawtMGysU/edit?usp=sharing"",""สบก!BJ45"")"),69625)</f>
        <v>69625</v>
      </c>
      <c r="N144" s="627">
        <f ca="1">IFERROR(__xludf.DUMMYFUNCTION("IMPORTRANGE(""https://docs.google.com/spreadsheets/d/1Yj_ptqi66GCucihVvJfMjLAmec39IyEx_6qawtMGysU/edit?usp=sharing"",""สบก!BK45"")"),46538)</f>
        <v>46538</v>
      </c>
      <c r="O144" s="169">
        <f ca="1">IF(L144&gt;0,N144*100/L144,0)</f>
        <v>47.731282051282051</v>
      </c>
      <c r="P144" s="169">
        <f ca="1">IF(M144&gt;0,N144*100/M144,0)</f>
        <v>66.840933572710952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IFERROR(__xludf.DUMMYFUNCTION("IMPORTRANGE(""https://docs.google.com/spreadsheets/d/1Yj_ptqi66GCucihVvJfMjLAmec39IyEx_6qawtMGysU/edit?usp=sharing"",""สบก!BG45"")"),97500)</f>
        <v>97500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2" t="s">
        <v>23</v>
      </c>
      <c r="E147" s="643"/>
      <c r="F147" s="89"/>
      <c r="G147" s="82" t="s">
        <v>18</v>
      </c>
      <c r="H147" s="172" t="s">
        <v>12</v>
      </c>
      <c r="I147" s="188"/>
      <c r="J147" s="188"/>
      <c r="K147" s="224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4"/>
      <c r="L148" s="622">
        <f ca="1">IFERROR(__xludf.DUMMYFUNCTION("IMPORTRANGE(""https://docs.google.com/spreadsheets/d/1Yj_ptqi66GCucihVvJfMjLAmec39IyEx_6qawtMGysU/edit?usp=sharing"",""สบก!BH45"")"),0)</f>
        <v>0</v>
      </c>
      <c r="M148" s="625"/>
      <c r="N148" s="622">
        <f ca="1">IFERROR(__xludf.DUMMYFUNCTION("IMPORTRANGE(""https://docs.google.com/spreadsheets/d/1Yj_ptqi66GCucihVvJfMjLAmec39IyEx_6qawtMGysU/edit?usp=sharing"",""สบก!BL45"")"),0)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IFERROR(__xludf.DUMMYFUNCTION("IMPORTRANGE(""https://docs.google.com/spreadsheets/d/1XL5vhW3sbDhbH9Cz0tuDiY8C3ctxq1tqvaCgkFb8cCA/edit?usp=sharing"",""มหาสารคาม!I74"")"),4)</f>
        <v>4</v>
      </c>
      <c r="J149" s="275">
        <f ca="1">IFERROR(__xludf.DUMMYFUNCTION("IMPORTRANGE(""https://docs.google.com/spreadsheets/d/1XL5vhW3sbDhbH9Cz0tuDiY8C3ctxq1tqvaCgkFb8cCA/edit?usp=sharing"",""มหาสารคาม!J74"")"),2)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8"/>
      <c r="B150" s="159"/>
      <c r="C150" s="159" t="s">
        <v>16</v>
      </c>
      <c r="D150" s="278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79" t="s">
        <v>79</v>
      </c>
      <c r="G159" s="197"/>
      <c r="H159" s="280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IFERROR(__xludf.DUMMYFUNCTION("IMPORTRANGE(""https://docs.google.com/spreadsheets/d/1XL5vhW3sbDhbH9Cz0tuDiY8C3ctxq1tqvaCgkFb8cCA/edit?usp=sharing"",""มหาสารคาม!J84"")"),43)</f>
        <v>43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1" t="s">
        <v>80</v>
      </c>
      <c r="H160" s="280" t="s">
        <v>37</v>
      </c>
      <c r="I160" s="188"/>
      <c r="J160" s="282">
        <f ca="1">IFERROR(__xludf.DUMMYFUNCTION("IMPORTRANGE(""https://docs.google.com/spreadsheets/d/1XL5vhW3sbDhbH9Cz0tuDiY8C3ctxq1tqvaCgkFb8cCA/edit?usp=sharing"",""มหาสารคาม!J85"")"),43)</f>
        <v>43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1" t="s">
        <v>81</v>
      </c>
      <c r="H161" s="280" t="s">
        <v>37</v>
      </c>
      <c r="I161" s="188"/>
      <c r="J161" s="282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6">
        <v>3</v>
      </c>
      <c r="E163" s="207" t="s">
        <v>54</v>
      </c>
      <c r="F163" s="208"/>
      <c r="G163" s="209"/>
      <c r="H163" s="187"/>
      <c r="I163" s="188"/>
      <c r="J163" s="210">
        <f ca="1">IFERROR(__xludf.DUMMYFUNCTION("IMPORTRANGE(""https://docs.google.com/spreadsheets/d/1XL5vhW3sbDhbH9Cz0tuDiY8C3ctxq1tqvaCgkFb8cCA/edit?usp=sharing"",""มหาสารคาม!J88"")"),0)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IFERROR(__xludf.DUMMYFUNCTION("IMPORTRANGE(""https://docs.google.com/spreadsheets/d/1XL5vhW3sbDhbH9Cz0tuDiY8C3ctxq1tqvaCgkFb8cCA/edit?usp=sharing"",""มหาสารคาม!I89"")"),4)</f>
        <v>4</v>
      </c>
      <c r="J164" s="284">
        <f ca="1">IFERROR(__xludf.DUMMYFUNCTION("IMPORTRANGE(""https://docs.google.com/spreadsheets/d/1XL5vhW3sbDhbH9Cz0tuDiY8C3ctxq1tqvaCgkFb8cCA/edit?usp=sharing"",""มหาสารคาม!J89"")"),2)</f>
        <v>2</v>
      </c>
      <c r="K164" s="285">
        <f ca="1">IF(I164&gt;0,J164*100/I164,0)</f>
        <v>50</v>
      </c>
      <c r="L164" s="277"/>
      <c r="M164" s="277"/>
      <c r="N164" s="277"/>
      <c r="O164" s="277"/>
      <c r="P164" s="277"/>
    </row>
    <row r="165" spans="1:16" ht="21.75" customHeight="1" x14ac:dyDescent="0.25">
      <c r="A165" s="158"/>
      <c r="B165" s="159"/>
      <c r="C165" s="159" t="s">
        <v>16</v>
      </c>
      <c r="D165" s="278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IFERROR(__xludf.DUMMYFUNCTION("IMPORTRANGE(""https://docs.google.com/spreadsheets/d/1XL5vhW3sbDhbH9Cz0tuDiY8C3ctxq1tqvaCgkFb8cCA/edit?usp=sharing"",""มหาสารคาม!J98"")"),2)</f>
        <v>2</v>
      </c>
      <c r="K173" s="163">
        <f ca="1">IF(I173&gt;0,J173*100/I173,0)</f>
        <v>50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6">
        <v>3</v>
      </c>
      <c r="E175" s="207" t="s">
        <v>54</v>
      </c>
      <c r="F175" s="208"/>
      <c r="G175" s="209"/>
      <c r="H175" s="187"/>
      <c r="I175" s="188"/>
      <c r="J175" s="210">
        <f ca="1">IFERROR(__xludf.DUMMYFUNCTION("IMPORTRANGE(""https://docs.google.com/spreadsheets/d/1XL5vhW3sbDhbH9Cz0tuDiY8C3ctxq1tqvaCgkFb8cCA/edit?usp=sharing"",""มหาสารคาม!J100"")"),0)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IFERROR(__xludf.DUMMYFUNCTION("IMPORTRANGE(""https://docs.google.com/spreadsheets/d/1XL5vhW3sbDhbH9Cz0tuDiY8C3ctxq1tqvaCgkFb8cCA/edit?usp=sharing"",""มหาสารคาม!I101"")"),0)</f>
        <v>0</v>
      </c>
      <c r="J176" s="284">
        <f ca="1">IFERROR(__xludf.DUMMYFUNCTION("IMPORTRANGE(""https://docs.google.com/spreadsheets/d/1XL5vhW3sbDhbH9Cz0tuDiY8C3ctxq1tqvaCgkFb8cCA/edit?usp=sharing"",""มหาสารคาม!J101"")"),0)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8"/>
      <c r="B177" s="159"/>
      <c r="C177" s="159" t="s">
        <v>16</v>
      </c>
      <c r="D177" s="278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4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4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4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4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4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4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4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4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4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6">
        <v>3</v>
      </c>
      <c r="E188" s="207" t="s">
        <v>54</v>
      </c>
      <c r="F188" s="208"/>
      <c r="G188" s="209"/>
      <c r="H188" s="187"/>
      <c r="I188" s="188"/>
      <c r="J188" s="227">
        <f ca="1">IFERROR(__xludf.DUMMYFUNCTION("IMPORTRANGE(""https://docs.google.com/spreadsheets/d/1XL5vhW3sbDhbH9Cz0tuDiY8C3ctxq1tqvaCgkFb8cCA/edit?usp=sharing"",""มหาสารคาม!J113"")"),0)</f>
        <v>0</v>
      </c>
      <c r="K188" s="224"/>
      <c r="L188" s="169"/>
      <c r="M188" s="169"/>
      <c r="N188" s="169"/>
      <c r="O188" s="182"/>
      <c r="P188" s="182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IFERROR(__xludf.DUMMYFUNCTION("IMPORTRANGE(""https://docs.google.com/spreadsheets/d/1XL5vhW3sbDhbH9Cz0tuDiY8C3ctxq1tqvaCgkFb8cCA/edit?usp=sharing"",""มหาสารคาม!I114"")"),100000)</f>
        <v>100000</v>
      </c>
      <c r="J189" s="284">
        <f ca="1">IFERROR(__xludf.DUMMYFUNCTION("IMPORTRANGE(""https://docs.google.com/spreadsheets/d/1XL5vhW3sbDhbH9Cz0tuDiY8C3ctxq1tqvaCgkFb8cCA/edit?usp=sharing"",""มหาสารคาม!J114"")"),0)</f>
        <v>0</v>
      </c>
      <c r="K189" s="285">
        <f ca="1">IF(I189&gt;0,J189*100/I189,0)</f>
        <v>0</v>
      </c>
      <c r="L189" s="277"/>
      <c r="M189" s="277"/>
      <c r="N189" s="277"/>
      <c r="O189" s="277"/>
      <c r="P189" s="277"/>
    </row>
    <row r="190" spans="1:16" ht="21.75" customHeight="1" x14ac:dyDescent="0.25">
      <c r="A190" s="158"/>
      <c r="B190" s="159"/>
      <c r="C190" s="159" t="s">
        <v>16</v>
      </c>
      <c r="D190" s="278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IFERROR(__xludf.DUMMYFUNCTION("IMPORTRANGE(""https://docs.google.com/spreadsheets/d/1XL5vhW3sbDhbH9Cz0tuDiY8C3ctxq1tqvaCgkFb8cCA/edit?usp=sharing"",""มหาสารคาม!J128"")"),0)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IFERROR(__xludf.DUMMYFUNCTION("IMPORTRANGE(""https://docs.google.com/spreadsheets/d/1XL5vhW3sbDhbH9Cz0tuDiY8C3ctxq1tqvaCgkFb8cCA/edit?usp=sharing"",""มหาสารคาม!I129"")"),0)</f>
        <v>0</v>
      </c>
      <c r="J204" s="284">
        <f ca="1">IFERROR(__xludf.DUMMYFUNCTION("IMPORTRANGE(""https://docs.google.com/spreadsheets/d/1XL5vhW3sbDhbH9Cz0tuDiY8C3ctxq1tqvaCgkFb8cCA/edit?usp=sharing"",""มหาสารคาม!J129"")"),0)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8"/>
      <c r="B205" s="159"/>
      <c r="C205" s="159" t="s">
        <v>16</v>
      </c>
      <c r="D205" s="278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4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4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4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4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4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4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4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4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6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4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6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4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4"/>
      <c r="L217" s="169"/>
      <c r="M217" s="169"/>
      <c r="N217" s="169"/>
      <c r="O217" s="182"/>
      <c r="P217" s="182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IFERROR(__xludf.DUMMYFUNCTION("IMPORTRANGE(""https://docs.google.com/spreadsheets/d/1XL5vhW3sbDhbH9Cz0tuDiY8C3ctxq1tqvaCgkFb8cCA/edit?usp=sharing"",""มหาสารคาม!J143"")"),0)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IFERROR(__xludf.DUMMYFUNCTION("IMPORTRANGE(""https://docs.google.com/spreadsheets/d/1XL5vhW3sbDhbH9Cz0tuDiY8C3ctxq1tqvaCgkFb8cCA/edit?usp=sharing"",""มหาสารคาม!I144"")"),14)</f>
        <v>14</v>
      </c>
      <c r="J219" s="267">
        <f ca="1">IFERROR(__xludf.DUMMYFUNCTION("IMPORTRANGE(""https://docs.google.com/spreadsheets/d/1XL5vhW3sbDhbH9Cz0tuDiY8C3ctxq1tqvaCgkFb8cCA/edit?usp=sharing"",""มหาสารคาม!J144"")"),14)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640" t="s">
        <v>17</v>
      </c>
      <c r="E220" s="641"/>
      <c r="F220" s="641"/>
      <c r="G220" s="641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2" t="s">
        <v>20</v>
      </c>
      <c r="E223" s="643"/>
      <c r="F223" s="64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IFERROR(__xludf.DUMMYFUNCTION("IMPORTRANGE(""https://docs.google.com/spreadsheets/d/1Yj_ptqi66GCucihVvJfMjLAmec39IyEx_6qawtMGysU/edit?usp=sharing"",""สบก!BS45"")"),20210)</f>
        <v>20210</v>
      </c>
      <c r="N224" s="627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2" t="s">
        <v>23</v>
      </c>
      <c r="E227" s="643"/>
      <c r="F227" s="89"/>
      <c r="G227" s="82" t="s">
        <v>18</v>
      </c>
      <c r="H227" s="172" t="s">
        <v>12</v>
      </c>
      <c r="I227" s="201"/>
      <c r="J227" s="201"/>
      <c r="K227" s="290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0"/>
      <c r="L228" s="622">
        <f ca="1">IFERROR(__xludf.DUMMYFUNCTION("IMPORTRANGE(""https://docs.google.com/spreadsheets/d/1Yj_ptqi66GCucihVvJfMjLAmec39IyEx_6qawtMGysU/edit?usp=sharing"",""สบก!BQ45"")"),0)</f>
        <v>0</v>
      </c>
      <c r="M228" s="625"/>
      <c r="N228" s="622">
        <f ca="1">IFERROR(__xludf.DUMMYFUNCTION("IMPORTRANGE(""https://docs.google.com/spreadsheets/d/1Yj_ptqi66GCucihVvJfMjLAmec39IyEx_6qawtMGysU/edit?usp=sharing"",""สบก!BU45"")"),0)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IFERROR(__xludf.DUMMYFUNCTION("IMPORTRANGE(""https://docs.google.com/spreadsheets/d/1XL5vhW3sbDhbH9Cz0tuDiY8C3ctxq1tqvaCgkFb8cCA/edit?usp=sharing"",""มหาสารคาม!I149"")"),14)</f>
        <v>14</v>
      </c>
      <c r="J229" s="267">
        <f ca="1">IFERROR(__xludf.DUMMYFUNCTION("IMPORTRANGE(""https://docs.google.com/spreadsheets/d/1XL5vhW3sbDhbH9Cz0tuDiY8C3ctxq1tqvaCgkFb8cCA/edit?usp=sharing"",""มหาสารคาม!J149"")"),14)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3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6">
        <v>3</v>
      </c>
      <c r="E237" s="207" t="s">
        <v>54</v>
      </c>
      <c r="F237" s="208"/>
      <c r="G237" s="209"/>
      <c r="H237" s="187"/>
      <c r="I237" s="188"/>
      <c r="J237" s="210">
        <f ca="1">IFERROR(__xludf.DUMMYFUNCTION("IMPORTRANGE(""https://docs.google.com/spreadsheets/d/1XL5vhW3sbDhbH9Cz0tuDiY8C3ctxq1tqvaCgkFb8cCA/edit?usp=sharing"",""มหาสารคาม!J157"")"),1)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IFERROR(__xludf.DUMMYFUNCTION("IMPORTRANGE(""https://docs.google.com/spreadsheets/d/1XL5vhW3sbDhbH9Cz0tuDiY8C3ctxq1tqvaCgkFb8cCA/edit?usp=sharing"",""มหาสารคาม!I158"")"),0)</f>
        <v>0</v>
      </c>
      <c r="J238" s="267">
        <f ca="1">IFERROR(__xludf.DUMMYFUNCTION("IMPORTRANGE(""https://docs.google.com/spreadsheets/d/1XL5vhW3sbDhbH9Cz0tuDiY8C3ctxq1tqvaCgkFb8cCA/edit?usp=sharing"",""มหาสารคาม!J158"")"),0)</f>
        <v>0</v>
      </c>
      <c r="K238" s="268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IFERROR(__xludf.DUMMYFUNCTION("IMPORTRANGE(""https://docs.google.com/spreadsheets/d/1XL5vhW3sbDhbH9Cz0tuDiY8C3ctxq1tqvaCgkFb8cCA/edit?usp=sharing"",""มหาสารคาม!J166"")"),0)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IFERROR(__xludf.DUMMYFUNCTION("IMPORTRANGE(""https://docs.google.com/spreadsheets/d/1XL5vhW3sbDhbH9Cz0tuDiY8C3ctxq1tqvaCgkFb8cCA/edit?usp=sharing"",""มหาสารคาม!I169"")"),0)</f>
        <v>0</v>
      </c>
      <c r="J249" s="316">
        <f ca="1">IFERROR(__xludf.DUMMYFUNCTION("IMPORTRANGE(""https://docs.google.com/spreadsheets/d/1XL5vhW3sbDhbH9Cz0tuDiY8C3ctxq1tqvaCgkFb8cCA/edit?usp=sharing"",""มหาสารคาม!J169"")"),0)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640" t="s">
        <v>17</v>
      </c>
      <c r="E250" s="641"/>
      <c r="F250" s="641"/>
      <c r="G250" s="641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2" t="s">
        <v>20</v>
      </c>
      <c r="E253" s="643"/>
      <c r="F253" s="64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IFERROR(__xludf.DUMMYFUNCTION("IMPORTRANGE(""https://docs.google.com/spreadsheets/d/1Yj_ptqi66GCucihVvJfMjLAmec39IyEx_6qawtMGysU/edit?usp=sharing"",""สบก!CB45"")"),0)</f>
        <v>0</v>
      </c>
      <c r="N254" s="627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2" t="s">
        <v>23</v>
      </c>
      <c r="E257" s="643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IFERROR(__xludf.DUMMYFUNCTION("IMPORTRANGE(""https://docs.google.com/spreadsheets/d/1Yj_ptqi66GCucihVvJfMjLAmec39IyEx_6qawtMGysU/edit?usp=sharing"",""สบก!BZ45"")"),0)</f>
        <v>0</v>
      </c>
      <c r="M258" s="625"/>
      <c r="N258" s="622">
        <f ca="1">IFERROR(__xludf.DUMMYFUNCTION("IMPORTRANGE(""https://docs.google.com/spreadsheets/d/1Yj_ptqi66GCucihVvJfMjLAmec39IyEx_6qawtMGysU/edit?usp=sharing"",""สบก!CD45"")"),0)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IFERROR(__xludf.DUMMYFUNCTION("IMPORTRANGE(""https://docs.google.com/spreadsheets/d/1XL5vhW3sbDhbH9Cz0tuDiY8C3ctxq1tqvaCgkFb8cCA/edit?usp=sharing"",""มหาสารคาม!J184"")"),0)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IFERROR(__xludf.DUMMYFUNCTION("IMPORTRANGE(""https://docs.google.com/spreadsheets/d/1XL5vhW3sbDhbH9Cz0tuDiY8C3ctxq1tqvaCgkFb8cCA/edit?usp=sharing"",""มหาสารคาม!I185"")"),15)</f>
        <v>15</v>
      </c>
      <c r="J270" s="316">
        <f ca="1">IFERROR(__xludf.DUMMYFUNCTION("IMPORTRANGE(""https://docs.google.com/spreadsheets/d/1XL5vhW3sbDhbH9Cz0tuDiY8C3ctxq1tqvaCgkFb8cCA/edit?usp=sharing"",""มหาสารคาม!J185"")"),15)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640" t="s">
        <v>17</v>
      </c>
      <c r="E271" s="641"/>
      <c r="F271" s="641"/>
      <c r="G271" s="641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2" t="s">
        <v>20</v>
      </c>
      <c r="E274" s="643"/>
      <c r="F274" s="64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IFERROR(__xludf.DUMMYFUNCTION("IMPORTRANGE(""https://docs.google.com/spreadsheets/d/1Yj_ptqi66GCucihVvJfMjLAmec39IyEx_6qawtMGysU/edit?usp=sharing"",""สบก!CK45"")"),32250)</f>
        <v>32250</v>
      </c>
      <c r="N275" s="627">
        <f ca="1">IFERROR(__xludf.DUMMYFUNCTION("IMPORTRANGE(""https://docs.google.com/spreadsheets/d/1Yj_ptqi66GCucihVvJfMjLAmec39IyEx_6qawtMGysU/edit?usp=sharing"",""สบก!CL45"")"),32250)</f>
        <v>32250</v>
      </c>
      <c r="O275" s="169">
        <f ca="1">IF(L275&gt;0,N275*100/L275,0)</f>
        <v>58.423913043478258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2" t="s">
        <v>23</v>
      </c>
      <c r="E278" s="643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IFERROR(__xludf.DUMMYFUNCTION("IMPORTRANGE(""https://docs.google.com/spreadsheets/d/1Yj_ptqi66GCucihVvJfMjLAmec39IyEx_6qawtMGysU/edit?usp=sharing"",""สบก!CI45"")"),0)</f>
        <v>0</v>
      </c>
      <c r="M279" s="625"/>
      <c r="N279" s="622">
        <f ca="1">IFERROR(__xludf.DUMMYFUNCTION("IMPORTRANGE(""https://docs.google.com/spreadsheets/d/1Yj_ptqi66GCucihVvJfMjLAmec39IyEx_6qawtMGysU/edit?usp=sharing"",""สบก!CM45"")"),0)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6">
        <v>3</v>
      </c>
      <c r="E287" s="207" t="s">
        <v>54</v>
      </c>
      <c r="F287" s="208"/>
      <c r="G287" s="209"/>
      <c r="H287" s="187"/>
      <c r="I287" s="188"/>
      <c r="J287" s="210">
        <f ca="1">IFERROR(__xludf.DUMMYFUNCTION("IMPORTRANGE(""https://docs.google.com/spreadsheets/d/1XL5vhW3sbDhbH9Cz0tuDiY8C3ctxq1tqvaCgkFb8cCA/edit?usp=sharing"",""มหาสารคาม!J197"")"),0)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IFERROR(__xludf.DUMMYFUNCTION("IMPORTRANGE(""https://docs.google.com/spreadsheets/d/1XL5vhW3sbDhbH9Cz0tuDiY8C3ctxq1tqvaCgkFb8cCA/edit?usp=sharing"",""มหาสารคาม!I199"")"),0)</f>
        <v>0</v>
      </c>
      <c r="J289" s="316">
        <f ca="1">IFERROR(__xludf.DUMMYFUNCTION("IMPORTRANGE(""https://docs.google.com/spreadsheets/d/1XL5vhW3sbDhbH9Cz0tuDiY8C3ctxq1tqvaCgkFb8cCA/edit?usp=sharing"",""มหาสารคาม!J199"")"),0)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640" t="s">
        <v>17</v>
      </c>
      <c r="E290" s="641"/>
      <c r="F290" s="641"/>
      <c r="G290" s="641"/>
      <c r="H290" s="149" t="s">
        <v>12</v>
      </c>
      <c r="I290" s="188"/>
      <c r="J290" s="188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4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4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2" t="s">
        <v>20</v>
      </c>
      <c r="E293" s="643"/>
      <c r="F293" s="643"/>
      <c r="G293" s="160" t="s">
        <v>38</v>
      </c>
      <c r="H293" s="161" t="s">
        <v>12</v>
      </c>
      <c r="I293" s="188" t="s">
        <v>39</v>
      </c>
      <c r="J293" s="188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4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IFERROR(__xludf.DUMMYFUNCTION("IMPORTRANGE(""https://docs.google.com/spreadsheets/d/1Yj_ptqi66GCucihVvJfMjLAmec39IyEx_6qawtMGysU/edit?usp=sharing"",""สบก!CT45"")"),0)</f>
        <v>0</v>
      </c>
      <c r="N294" s="627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4"/>
      <c r="L295" s="626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4"/>
      <c r="L296" s="626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2" t="s">
        <v>23</v>
      </c>
      <c r="E297" s="643"/>
      <c r="F297" s="89"/>
      <c r="G297" s="82" t="s">
        <v>18</v>
      </c>
      <c r="H297" s="172" t="s">
        <v>12</v>
      </c>
      <c r="I297" s="188"/>
      <c r="J297" s="188"/>
      <c r="K297" s="224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4"/>
      <c r="L298" s="622">
        <f ca="1">IFERROR(__xludf.DUMMYFUNCTION("IMPORTRANGE(""https://docs.google.com/spreadsheets/d/1Yj_ptqi66GCucihVvJfMjLAmec39IyEx_6qawtMGysU/edit?usp=sharing"",""สบก!CR45"")"),0)</f>
        <v>0</v>
      </c>
      <c r="M298" s="625"/>
      <c r="N298" s="622">
        <f ca="1">IFERROR(__xludf.DUMMYFUNCTION("IMPORTRANGE(""https://docs.google.com/spreadsheets/d/1Yj_ptqi66GCucihVvJfMjLAmec39IyEx_6qawtMGysU/edit?usp=sharing"",""สบก!CV45"")"),0)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4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4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4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4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4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4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4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4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4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6">
        <v>3</v>
      </c>
      <c r="E308" s="207" t="s">
        <v>54</v>
      </c>
      <c r="F308" s="208"/>
      <c r="G308" s="209"/>
      <c r="H308" s="187"/>
      <c r="I308" s="188"/>
      <c r="J308" s="326">
        <f ca="1">IFERROR(__xludf.DUMMYFUNCTION("IMPORTRANGE(""https://docs.google.com/spreadsheets/d/1XL5vhW3sbDhbH9Cz0tuDiY8C3ctxq1tqvaCgkFb8cCA/edit?usp=sharing"",""มหาสารคาม!J213"")"),0)</f>
        <v>0</v>
      </c>
      <c r="K308" s="224"/>
      <c r="L308" s="169"/>
      <c r="M308" s="169"/>
      <c r="N308" s="169"/>
      <c r="O308" s="182"/>
      <c r="P308" s="182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IFERROR(__xludf.DUMMYFUNCTION("IMPORTRANGE(""https://docs.google.com/spreadsheets/d/1XL5vhW3sbDhbH9Cz0tuDiY8C3ctxq1tqvaCgkFb8cCA/edit?usp=sharing"",""มหาสารคาม!I214"")"),0)</f>
        <v>0</v>
      </c>
      <c r="J309" s="333">
        <f ca="1">IFERROR(__xludf.DUMMYFUNCTION("IMPORTRANGE(""https://docs.google.com/spreadsheets/d/1XL5vhW3sbDhbH9Cz0tuDiY8C3ctxq1tqvaCgkFb8cCA/edit?usp=sharing"",""มหาสารคาม!J214"")"),0)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640" t="s">
        <v>17</v>
      </c>
      <c r="E310" s="641"/>
      <c r="F310" s="641"/>
      <c r="G310" s="64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2" t="s">
        <v>20</v>
      </c>
      <c r="E313" s="643"/>
      <c r="F313" s="64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IFERROR(__xludf.DUMMYFUNCTION("IMPORTRANGE(""https://docs.google.com/spreadsheets/d/1Yj_ptqi66GCucihVvJfMjLAmec39IyEx_6qawtMGysU/edit?usp=sharing"",""สบก!DC45"")"),0)</f>
        <v>0</v>
      </c>
      <c r="N314" s="627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4"/>
      <c r="L316" s="626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2" t="s">
        <v>23</v>
      </c>
      <c r="E317" s="643"/>
      <c r="F317" s="89"/>
      <c r="G317" s="82" t="s">
        <v>18</v>
      </c>
      <c r="H317" s="172" t="s">
        <v>12</v>
      </c>
      <c r="I317" s="162"/>
      <c r="J317" s="188"/>
      <c r="K317" s="224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4"/>
      <c r="L318" s="622">
        <f ca="1">IFERROR(__xludf.DUMMYFUNCTION("IMPORTRANGE(""https://docs.google.com/spreadsheets/d/1Yj_ptqi66GCucihVvJfMjLAmec39IyEx_6qawtMGysU/edit?usp=sharing"",""สบก!DA45"")"),0)</f>
        <v>0</v>
      </c>
      <c r="M318" s="625"/>
      <c r="N318" s="622">
        <f ca="1">IFERROR(__xludf.DUMMYFUNCTION("IMPORTRANGE(""https://docs.google.com/spreadsheets/d/1Yj_ptqi66GCucihVvJfMjLAmec39IyEx_6qawtMGysU/edit?usp=sharing"",""สบก!DE45"")"),0)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4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4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4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4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4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4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4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6">
        <v>3</v>
      </c>
      <c r="E326" s="207" t="s">
        <v>54</v>
      </c>
      <c r="F326" s="208"/>
      <c r="G326" s="209"/>
      <c r="H326" s="187"/>
      <c r="I326" s="188"/>
      <c r="J326" s="227">
        <f ca="1">IFERROR(__xludf.DUMMYFUNCTION("IMPORTRANGE(""https://docs.google.com/spreadsheets/d/1XL5vhW3sbDhbH9Cz0tuDiY8C3ctxq1tqvaCgkFb8cCA/edit?usp=sharing"",""มหาสารคาม!J226"")"),0)</f>
        <v>0</v>
      </c>
      <c r="K326" s="224"/>
      <c r="L326" s="169"/>
      <c r="M326" s="169"/>
      <c r="N326" s="169"/>
      <c r="O326" s="182"/>
      <c r="P326" s="182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IFERROR(__xludf.DUMMYFUNCTION("IMPORTRANGE(""https://docs.google.com/spreadsheets/d/1XL5vhW3sbDhbH9Cz0tuDiY8C3ctxq1tqvaCgkFb8cCA/edit?usp=sharing"",""มหาสารคาม!I228"")"),195)</f>
        <v>195</v>
      </c>
      <c r="J328" s="339">
        <f ca="1">IFERROR(__xludf.DUMMYFUNCTION("IMPORTRANGE(""https://docs.google.com/spreadsheets/d/1XL5vhW3sbDhbH9Cz0tuDiY8C3ctxq1tqvaCgkFb8cCA/edit?usp=sharing"",""มหาสารคาม!J228"")"),101)</f>
        <v>101</v>
      </c>
      <c r="K328" s="317">
        <f ca="1">IF(I328&gt;0,J328*100/I328,0)</f>
        <v>51.794871794871796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640" t="s">
        <v>17</v>
      </c>
      <c r="E329" s="641"/>
      <c r="F329" s="641"/>
      <c r="G329" s="641"/>
      <c r="H329" s="149" t="s">
        <v>12</v>
      </c>
      <c r="I329" s="162"/>
      <c r="J329" s="162"/>
      <c r="K329" s="163"/>
      <c r="L329" s="152">
        <f t="shared" ref="L329:N329" ca="1" si="98">L330+L331</f>
        <v>661510</v>
      </c>
      <c r="M329" s="152">
        <f t="shared" ca="1" si="98"/>
        <v>523610</v>
      </c>
      <c r="N329" s="152">
        <f t="shared" ca="1" si="98"/>
        <v>367727.85</v>
      </c>
      <c r="O329" s="151">
        <f t="shared" ref="O329:O331" ca="1" si="99">IF(L329&gt;0,N329*100/L329,0)</f>
        <v>55.589159649891911</v>
      </c>
      <c r="P329" s="151">
        <f t="shared" ref="P329:P331" ca="1" si="100">IF(M329&gt;0,N329*100/M329,0)</f>
        <v>70.22934053971467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661510</v>
      </c>
      <c r="M331" s="157">
        <f t="shared" ca="1" si="102"/>
        <v>523610</v>
      </c>
      <c r="N331" s="157">
        <f t="shared" ca="1" si="102"/>
        <v>367727.85</v>
      </c>
      <c r="O331" s="156">
        <f t="shared" ca="1" si="99"/>
        <v>55.589159649891911</v>
      </c>
      <c r="P331" s="156">
        <f t="shared" ca="1" si="100"/>
        <v>70.22934053971467</v>
      </c>
    </row>
    <row r="332" spans="1:16" ht="21.75" customHeight="1" x14ac:dyDescent="0.3">
      <c r="A332" s="158"/>
      <c r="B332" s="159"/>
      <c r="C332" s="159" t="s">
        <v>16</v>
      </c>
      <c r="D332" s="642" t="s">
        <v>20</v>
      </c>
      <c r="E332" s="643"/>
      <c r="F332" s="64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661510</v>
      </c>
      <c r="M333" s="626">
        <f ca="1">IFERROR(__xludf.DUMMYFUNCTION("IMPORTRANGE(""https://docs.google.com/spreadsheets/d/1Yj_ptqi66GCucihVvJfMjLAmec39IyEx_6qawtMGysU/edit?usp=sharing"",""สบก!DL45"")"),523610)</f>
        <v>523610</v>
      </c>
      <c r="N333" s="627">
        <f ca="1">IFERROR(__xludf.DUMMYFUNCTION("IMPORTRANGE(""https://docs.google.com/spreadsheets/d/1Yj_ptqi66GCucihVvJfMjLAmec39IyEx_6qawtMGysU/edit?usp=sharing"",""สบก!DM45"")"),367727.85)</f>
        <v>367727.85</v>
      </c>
      <c r="O333" s="169">
        <f ca="1">IF(L333&gt;0,N333*100/L333,0)</f>
        <v>55.589159649891911</v>
      </c>
      <c r="P333" s="169">
        <f ca="1">IF(M333&gt;0,N333*100/M333,0)</f>
        <v>70.22934053971467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IFERROR(__xludf.DUMMYFUNCTION("IMPORTRANGE(""https://docs.google.com/spreadsheets/d/1Yj_ptqi66GCucihVvJfMjLAmec39IyEx_6qawtMGysU/edit?usp=sharing"",""สบก!DI45"")"),355510)</f>
        <v>355510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2" t="s">
        <v>23</v>
      </c>
      <c r="E336" s="643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IFERROR(__xludf.DUMMYFUNCTION("IMPORTRANGE(""https://docs.google.com/spreadsheets/d/1Yj_ptqi66GCucihVvJfMjLAmec39IyEx_6qawtMGysU/edit?usp=sharing"",""สบก!DJ45"")"),0)</f>
        <v>0</v>
      </c>
      <c r="M337" s="625"/>
      <c r="N337" s="622">
        <f ca="1">IFERROR(__xludf.DUMMYFUNCTION("IMPORTRANGE(""https://docs.google.com/spreadsheets/d/1Yj_ptqi66GCucihVvJfMjLAmec39IyEx_6qawtMGysU/edit?usp=sharing"",""สบก!DN45"")"),0)</f>
        <v>0</v>
      </c>
      <c r="O337" s="625">
        <f ca="1">IF(L337&gt;0,N337*100/L337,0)</f>
        <v>0</v>
      </c>
      <c r="P337" s="625"/>
    </row>
    <row r="338" spans="1:16" ht="21.75" customHeight="1" x14ac:dyDescent="0.25">
      <c r="A338" s="176"/>
      <c r="B338" s="291"/>
      <c r="C338" s="340" t="s">
        <v>120</v>
      </c>
      <c r="D338" s="196"/>
      <c r="E338" s="196"/>
      <c r="F338" s="196"/>
      <c r="G338" s="197"/>
      <c r="H338" s="181"/>
      <c r="I338" s="341"/>
      <c r="J338" s="341"/>
      <c r="K338" s="342"/>
      <c r="L338" s="182"/>
      <c r="M338" s="182"/>
      <c r="N338" s="182"/>
      <c r="O338" s="343"/>
      <c r="P338" s="343"/>
    </row>
    <row r="339" spans="1:16" ht="21.75" customHeight="1" x14ac:dyDescent="0.25">
      <c r="A339" s="176"/>
      <c r="B339" s="291"/>
      <c r="C339" s="177"/>
      <c r="D339" s="196"/>
      <c r="E339" s="195" t="s">
        <v>121</v>
      </c>
      <c r="F339" s="196"/>
      <c r="G339" s="197"/>
      <c r="H339" s="344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IFERROR(__xludf.DUMMYFUNCTION("IMPORTRANGE(""https://docs.google.com/spreadsheets/d/1XL5vhW3sbDhbH9Cz0tuDiY8C3ctxq1tqvaCgkFb8cCA/edit?usp=sharing"",""มหาสารคาม!J234"")"),165)</f>
        <v>165</v>
      </c>
      <c r="K339" s="342">
        <f t="shared" ref="K339:K346" ca="1" si="103">IF(I339&gt;0,J339*100/I339,0)</f>
        <v>0</v>
      </c>
      <c r="L339" s="182"/>
      <c r="M339" s="182"/>
      <c r="N339" s="182"/>
      <c r="O339" s="343"/>
      <c r="P339" s="343"/>
    </row>
    <row r="340" spans="1:16" ht="21.75" customHeight="1" x14ac:dyDescent="0.25">
      <c r="A340" s="176"/>
      <c r="B340" s="291"/>
      <c r="C340" s="177"/>
      <c r="D340" s="196"/>
      <c r="E340" s="196"/>
      <c r="F340" s="196"/>
      <c r="G340" s="197"/>
      <c r="H340" s="344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IFERROR(__xludf.DUMMYFUNCTION("IMPORTRANGE(""https://docs.google.com/spreadsheets/d/1XL5vhW3sbDhbH9Cz0tuDiY8C3ctxq1tqvaCgkFb8cCA/edit?usp=sharing"",""มหาสารคาม!J235"")"),1167.49)</f>
        <v>1167.49</v>
      </c>
      <c r="K340" s="342">
        <f t="shared" ca="1" si="103"/>
        <v>86.480740740740742</v>
      </c>
      <c r="L340" s="182"/>
      <c r="M340" s="182"/>
      <c r="N340" s="182"/>
      <c r="O340" s="343"/>
      <c r="P340" s="343"/>
    </row>
    <row r="341" spans="1:16" ht="21.75" customHeight="1" x14ac:dyDescent="0.25">
      <c r="A341" s="176"/>
      <c r="B341" s="291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IFERROR(__xludf.DUMMYFUNCTION("IMPORTRANGE(""https://docs.google.com/spreadsheets/d/1XL5vhW3sbDhbH9Cz0tuDiY8C3ctxq1tqvaCgkFb8cCA/edit?usp=sharing"",""มหาสารคาม!I236"")"),195)</f>
        <v>195</v>
      </c>
      <c r="J341" s="188">
        <f ca="1">IFERROR(__xludf.DUMMYFUNCTION("IMPORTRANGE(""https://docs.google.com/spreadsheets/d/1XL5vhW3sbDhbH9Cz0tuDiY8C3ctxq1tqvaCgkFb8cCA/edit?usp=sharing"",""มหาสารคาม!J236"")"),102)</f>
        <v>102</v>
      </c>
      <c r="K341" s="342">
        <f t="shared" ca="1" si="103"/>
        <v>52.307692307692307</v>
      </c>
      <c r="L341" s="182"/>
      <c r="M341" s="182"/>
      <c r="N341" s="182"/>
      <c r="O341" s="343"/>
      <c r="P341" s="343"/>
    </row>
    <row r="342" spans="1:16" ht="21.75" customHeight="1" x14ac:dyDescent="0.25">
      <c r="A342" s="176"/>
      <c r="B342" s="291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IFERROR(__xludf.DUMMYFUNCTION("IMPORTRANGE(""https://docs.google.com/spreadsheets/d/1XL5vhW3sbDhbH9Cz0tuDiY8C3ctxq1tqvaCgkFb8cCA/edit?usp=sharing"",""มหาสารคาม!J237"")"),1045.44)</f>
        <v>1045.44</v>
      </c>
      <c r="K342" s="342">
        <f t="shared" ca="1" si="103"/>
        <v>0</v>
      </c>
      <c r="L342" s="182"/>
      <c r="M342" s="182"/>
      <c r="N342" s="182"/>
      <c r="O342" s="343"/>
      <c r="P342" s="343"/>
    </row>
    <row r="343" spans="1:16" ht="21.75" customHeight="1" x14ac:dyDescent="0.25">
      <c r="A343" s="176"/>
      <c r="B343" s="291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IFERROR(__xludf.DUMMYFUNCTION("IMPORTRANGE(""https://docs.google.com/spreadsheets/d/1XL5vhW3sbDhbH9Cz0tuDiY8C3ctxq1tqvaCgkFb8cCA/edit?usp=sharing"",""มหาสารคาม!I238"")"),195)</f>
        <v>195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2">
        <f t="shared" ca="1" si="103"/>
        <v>0</v>
      </c>
      <c r="L343" s="182"/>
      <c r="M343" s="182"/>
      <c r="N343" s="182"/>
      <c r="O343" s="343"/>
      <c r="P343" s="343"/>
    </row>
    <row r="344" spans="1:16" ht="21.75" customHeight="1" x14ac:dyDescent="0.25">
      <c r="A344" s="176"/>
      <c r="B344" s="291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2">
        <f t="shared" ca="1" si="103"/>
        <v>0</v>
      </c>
      <c r="L344" s="182"/>
      <c r="M344" s="182"/>
      <c r="N344" s="182"/>
      <c r="O344" s="343"/>
      <c r="P344" s="343"/>
    </row>
    <row r="345" spans="1:16" ht="21.75" customHeight="1" x14ac:dyDescent="0.25">
      <c r="A345" s="176"/>
      <c r="B345" s="291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IFERROR(__xludf.DUMMYFUNCTION("IMPORTRANGE(""https://docs.google.com/spreadsheets/d/1XL5vhW3sbDhbH9Cz0tuDiY8C3ctxq1tqvaCgkFb8cCA/edit?usp=sharing"",""มหาสารคาม!I240"")"),195)</f>
        <v>195</v>
      </c>
      <c r="J345" s="188">
        <f ca="1">IFERROR(__xludf.DUMMYFUNCTION("IMPORTRANGE(""https://docs.google.com/spreadsheets/d/1XL5vhW3sbDhbH9Cz0tuDiY8C3ctxq1tqvaCgkFb8cCA/edit?usp=sharing"",""มหาสารคาม!J240"")"),101)</f>
        <v>101</v>
      </c>
      <c r="K345" s="342">
        <f t="shared" ca="1" si="103"/>
        <v>51.794871794871796</v>
      </c>
      <c r="L345" s="182"/>
      <c r="M345" s="182"/>
      <c r="N345" s="182"/>
      <c r="O345" s="343"/>
      <c r="P345" s="343"/>
    </row>
    <row r="346" spans="1:16" ht="21.75" customHeight="1" x14ac:dyDescent="0.25">
      <c r="A346" s="234"/>
      <c r="B346" s="346"/>
      <c r="C346" s="235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IFERROR(__xludf.DUMMYFUNCTION("IMPORTRANGE(""https://docs.google.com/spreadsheets/d/1XL5vhW3sbDhbH9Cz0tuDiY8C3ctxq1tqvaCgkFb8cCA/edit?usp=sharing"",""มหาสารคาม!J241"")"),1037.39)</f>
        <v>1037.3900000000001</v>
      </c>
      <c r="K346" s="351">
        <f t="shared" ca="1" si="103"/>
        <v>0</v>
      </c>
      <c r="L346" s="245"/>
      <c r="M346" s="245"/>
      <c r="N346" s="245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IFERROR(__xludf.DUMMYFUNCTION("IMPORTRANGE(""https://docs.google.com/spreadsheets/d/1XL5vhW3sbDhbH9Cz0tuDiY8C3ctxq1tqvaCgkFb8cCA/edit?usp=sharing"",""มหาสารคาม!L242"")"),2365457)</f>
        <v>2365457</v>
      </c>
      <c r="M347" s="358"/>
      <c r="N347" s="358">
        <f ca="1">IFERROR(__xludf.DUMMYFUNCTION("IMPORTRANGE(""https://docs.google.com/spreadsheets/d/1XL5vhW3sbDhbH9Cz0tuDiY8C3ctxq1tqvaCgkFb8cCA/edit?usp=sharing"",""มหาสารคาม!M242"")"),732154.11)</f>
        <v>732154.11</v>
      </c>
      <c r="O347" s="358">
        <f ca="1">+IF(L347&gt;0,N347*100/L347,0)</f>
        <v>30.951909504167695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IFERROR(__xludf.DUMMYFUNCTION("IMPORTRANGE(""https://docs.google.com/spreadsheets/d/1XL5vhW3sbDhbH9Cz0tuDiY8C3ctxq1tqvaCgkFb8cCA/edit?usp=sharing"",""มหาสารคาม!M244"")"),216187.479999999)</f>
        <v>216187.47999999899</v>
      </c>
      <c r="O349" s="373">
        <f ca="1">+IF(L349&gt;0,N349*100/L349,0)</f>
        <v>35.078286548758555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8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IFERROR(__xludf.DUMMYFUNCTION("IMPORTRANGE(""https://docs.google.com/spreadsheets/d/1XL5vhW3sbDhbH9Cz0tuDiY8C3ctxq1tqvaCgkFb8cCA/edit?usp=sharing"",""มหาสารคาม!L247"")"),616300)</f>
        <v>616300</v>
      </c>
      <c r="M352" s="165"/>
      <c r="N352" s="164">
        <f ca="1">IFERROR(__xludf.DUMMYFUNCTION("IMPORTRANGE(""https://docs.google.com/spreadsheets/d/1XL5vhW3sbDhbH9Cz0tuDiY8C3ctxq1tqvaCgkFb8cCA/edit?usp=sharing"",""มหาสารคาม!M247"")"),216187.479999999)</f>
        <v>216187.47999999899</v>
      </c>
      <c r="O352" s="165">
        <f t="shared" ca="1" si="105"/>
        <v>35.078286548758555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IFERROR(__xludf.DUMMYFUNCTION("IMPORTRANGE(""https://docs.google.com/spreadsheets/d/1XL5vhW3sbDhbH9Cz0tuDiY8C3ctxq1tqvaCgkFb8cCA/edit?usp=sharing"",""มหาสารคาม!L249"")"),616300)</f>
        <v>616300</v>
      </c>
      <c r="M354" s="169"/>
      <c r="N354" s="168">
        <f ca="1">IFERROR(__xludf.DUMMYFUNCTION("IMPORTRANGE(""https://docs.google.com/spreadsheets/d/1XL5vhW3sbDhbH9Cz0tuDiY8C3ctxq1tqvaCgkFb8cCA/edit?usp=sharing"",""มหาสารคาม!M249"")"),216187.479999999)</f>
        <v>216187.47999999899</v>
      </c>
      <c r="O354" s="169">
        <f t="shared" ca="1" si="105"/>
        <v>35.078286548758555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4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IFERROR(__xludf.DUMMYFUNCTION("IMPORTRANGE(""https://docs.google.com/spreadsheets/d/1XL5vhW3sbDhbH9Cz0tuDiY8C3ctxq1tqvaCgkFb8cCA/edit?usp=sharing"",""มหาสารคาม!M250"")"),131352)</f>
        <v>131352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4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4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IFERROR(__xludf.DUMMYFUNCTION("IMPORTRANGE(""https://docs.google.com/spreadsheets/d/1XL5vhW3sbDhbH9Cz0tuDiY8C3ctxq1tqvaCgkFb8cCA/edit?usp=sharing"",""มหาสารคาม!M252"")"),77935.48)</f>
        <v>77935.48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4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IFERROR(__xludf.DUMMYFUNCTION("IMPORTRANGE(""https://docs.google.com/spreadsheets/d/1XL5vhW3sbDhbH9Cz0tuDiY8C3ctxq1tqvaCgkFb8cCA/edit?usp=sharing"",""มหาสารคาม!M253"")"),6900)</f>
        <v>6900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6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6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3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3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6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0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1" t="s">
        <v>143</v>
      </c>
      <c r="H376" s="280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1" t="s">
        <v>144</v>
      </c>
      <c r="H377" s="280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6">
        <v>3</v>
      </c>
      <c r="E379" s="207" t="s">
        <v>54</v>
      </c>
      <c r="F379" s="208"/>
      <c r="G379" s="209"/>
      <c r="H379" s="187"/>
      <c r="I379" s="188"/>
      <c r="J379" s="210">
        <f ca="1">IFERROR(__xludf.DUMMYFUNCTION("IMPORTRANGE(""https://docs.google.com/spreadsheets/d/1XL5vhW3sbDhbH9Cz0tuDiY8C3ctxq1tqvaCgkFb8cCA/edit?usp=sharing"",""มหาสารคาม!J274"")"),0)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IFERROR(__xludf.DUMMYFUNCTION("IMPORTRANGE(""https://docs.google.com/spreadsheets/d/1XL5vhW3sbDhbH9Cz0tuDiY8C3ctxq1tqvaCgkFb8cCA/edit?usp=sharing"",""มหาสารคาม!M275"")"),166210.65)</f>
        <v>166210.65</v>
      </c>
      <c r="O380" s="373">
        <f ca="1">+IF(L380&gt;0,N380*100/L380,0)</f>
        <v>16.160176758837942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8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IFERROR(__xludf.DUMMYFUNCTION("IMPORTRANGE(""https://docs.google.com/spreadsheets/d/1XL5vhW3sbDhbH9Cz0tuDiY8C3ctxq1tqvaCgkFb8cCA/edit?usp=sharing"",""มหาสารคาม!M278"")"),166210.65)</f>
        <v>166210.65</v>
      </c>
      <c r="O383" s="165">
        <f t="shared" ca="1" si="109"/>
        <v>16.160176758837942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IFERROR(__xludf.DUMMYFUNCTION("IMPORTRANGE(""https://docs.google.com/spreadsheets/d/1XL5vhW3sbDhbH9Cz0tuDiY8C3ctxq1tqvaCgkFb8cCA/edit?usp=sharing"",""มหาสารคาม!M280"")"),166210.65)</f>
        <v>166210.65</v>
      </c>
      <c r="O385" s="169">
        <f t="shared" ca="1" si="109"/>
        <v>16.160176758837942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4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IFERROR(__xludf.DUMMYFUNCTION("IMPORTRANGE(""https://docs.google.com/spreadsheets/d/1XL5vhW3sbDhbH9Cz0tuDiY8C3ctxq1tqvaCgkFb8cCA/edit?usp=sharing"",""มหาสารคาม!M281"")"),77000)</f>
        <v>77000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4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4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IFERROR(__xludf.DUMMYFUNCTION("IMPORTRANGE(""https://docs.google.com/spreadsheets/d/1XL5vhW3sbDhbH9Cz0tuDiY8C3ctxq1tqvaCgkFb8cCA/edit?usp=sharing"",""มหาสารคาม!M283"")"),77580.65)</f>
        <v>77580.649999999994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4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IFERROR(__xludf.DUMMYFUNCTION("IMPORTRANGE(""https://docs.google.com/spreadsheets/d/1XL5vhW3sbDhbH9Cz0tuDiY8C3ctxq1tqvaCgkFb8cCA/edit?usp=sharing"",""มหาสารคาม!M284"")"),11630)</f>
        <v>11630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3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6">
        <v>3</v>
      </c>
      <c r="E400" s="207" t="s">
        <v>54</v>
      </c>
      <c r="F400" s="208"/>
      <c r="G400" s="209"/>
      <c r="H400" s="187"/>
      <c r="I400" s="188"/>
      <c r="J400" s="210">
        <f ca="1">IFERROR(__xludf.DUMMYFUNCTION("IMPORTRANGE(""https://docs.google.com/spreadsheets/d/1XL5vhW3sbDhbH9Cz0tuDiY8C3ctxq1tqvaCgkFb8cCA/edit?usp=sharing"",""มหาสารคาม!J295"")"),0)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IFERROR(__xludf.DUMMYFUNCTION("IMPORTRANGE(""https://docs.google.com/spreadsheets/d/1XL5vhW3sbDhbH9Cz0tuDiY8C3ctxq1tqvaCgkFb8cCA/edit?usp=sharing"",""มหาสารคาม!M296"")"),106119)</f>
        <v>106119</v>
      </c>
      <c r="O401" s="373">
        <f ca="1">+IF(L401&gt;0,N401*100/L401,0)</f>
        <v>45.295799897558474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8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IFERROR(__xludf.DUMMYFUNCTION("IMPORTRANGE(""https://docs.google.com/spreadsheets/d/1XL5vhW3sbDhbH9Cz0tuDiY8C3ctxq1tqvaCgkFb8cCA/edit?usp=sharing"",""มหาสารคาม!M299"")"),106119)</f>
        <v>106119</v>
      </c>
      <c r="O404" s="169">
        <f t="shared" ca="1" si="112"/>
        <v>45.295799897558474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IFERROR(__xludf.DUMMYFUNCTION("IMPORTRANGE(""https://docs.google.com/spreadsheets/d/1XL5vhW3sbDhbH9Cz0tuDiY8C3ctxq1tqvaCgkFb8cCA/edit?usp=sharing"",""มหาสารคาม!M301"")"),106119)</f>
        <v>106119</v>
      </c>
      <c r="O406" s="169">
        <f t="shared" ca="1" si="112"/>
        <v>45.295799897558474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4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IFERROR(__xludf.DUMMYFUNCTION("IMPORTRANGE(""https://docs.google.com/spreadsheets/d/1XL5vhW3sbDhbH9Cz0tuDiY8C3ctxq1tqvaCgkFb8cCA/edit?usp=sharing"",""มหาสารคาม!M302"")"),95399)</f>
        <v>95399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4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4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4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IFERROR(__xludf.DUMMYFUNCTION("IMPORTRANGE(""https://docs.google.com/spreadsheets/d/1XL5vhW3sbDhbH9Cz0tuDiY8C3ctxq1tqvaCgkFb8cCA/edit?usp=sharing"",""มหาสารคาม!M305"")"),10720)</f>
        <v>10720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6" t="s">
        <v>149</v>
      </c>
      <c r="H419" s="181" t="s">
        <v>37</v>
      </c>
      <c r="I419" s="341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4"/>
      <c r="B420" s="235"/>
      <c r="C420" s="235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6" t="s">
        <v>152</v>
      </c>
      <c r="H423" s="181" t="s">
        <v>37</v>
      </c>
      <c r="I423" s="341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6" t="s">
        <v>153</v>
      </c>
      <c r="H424" s="181" t="s">
        <v>37</v>
      </c>
      <c r="I424" s="341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6" t="s">
        <v>154</v>
      </c>
      <c r="H425" s="181" t="s">
        <v>37</v>
      </c>
      <c r="I425" s="341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6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6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6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6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6">
        <v>3</v>
      </c>
      <c r="E434" s="207" t="s">
        <v>54</v>
      </c>
      <c r="F434" s="208"/>
      <c r="G434" s="209"/>
      <c r="H434" s="187"/>
      <c r="I434" s="188"/>
      <c r="J434" s="210">
        <f ca="1">IFERROR(__xludf.DUMMYFUNCTION("IMPORTRANGE(""https://docs.google.com/spreadsheets/d/1XL5vhW3sbDhbH9Cz0tuDiY8C3ctxq1tqvaCgkFb8cCA/edit?usp=sharing"",""มหาสารคาม!J329"")"),0)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IFERROR(__xludf.DUMMYFUNCTION("IMPORTRANGE(""https://docs.google.com/spreadsheets/d/1XL5vhW3sbDhbH9Cz0tuDiY8C3ctxq1tqvaCgkFb8cCA/edit?usp=sharing"",""มหาสารคาม!L330"")"),101000)</f>
        <v>101000</v>
      </c>
      <c r="M435" s="412"/>
      <c r="N435" s="412">
        <f ca="1">IFERROR(__xludf.DUMMYFUNCTION("IMPORTRANGE(""https://docs.google.com/spreadsheets/d/1XL5vhW3sbDhbH9Cz0tuDiY8C3ctxq1tqvaCgkFb8cCA/edit?usp=sharing"",""มหาสารคาม!M330"")"),62906)</f>
        <v>62906</v>
      </c>
      <c r="O435" s="412">
        <f t="shared" ref="O435:O439" ca="1" si="114">+IF(L435&gt;0,N435*100/L435,0)</f>
        <v>62.283168316831684</v>
      </c>
      <c r="P435" s="412"/>
    </row>
    <row r="436" spans="1:16" ht="21.75" customHeight="1" x14ac:dyDescent="0.25">
      <c r="A436" s="158"/>
      <c r="B436" s="159"/>
      <c r="C436" s="159" t="s">
        <v>16</v>
      </c>
      <c r="D436" s="278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IFERROR(__xludf.DUMMYFUNCTION("IMPORTRANGE(""https://docs.google.com/spreadsheets/d/1XL5vhW3sbDhbH9Cz0tuDiY8C3ctxq1tqvaCgkFb8cCA/edit?usp=sharing"",""มหาสารคาม!L332"")"),101000)</f>
        <v>101000</v>
      </c>
      <c r="M437" s="165"/>
      <c r="N437" s="169">
        <f ca="1">IFERROR(__xludf.DUMMYFUNCTION("IMPORTRANGE(""https://docs.google.com/spreadsheets/d/1XL5vhW3sbDhbH9Cz0tuDiY8C3ctxq1tqvaCgkFb8cCA/edit?usp=sharing"",""มหาสารคาม!M332"")"),62906)</f>
        <v>62906</v>
      </c>
      <c r="O437" s="169">
        <f t="shared" ca="1" si="114"/>
        <v>62.283168316831684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IFERROR(__xludf.DUMMYFUNCTION("IMPORTRANGE(""https://docs.google.com/spreadsheets/d/1XL5vhW3sbDhbH9Cz0tuDiY8C3ctxq1tqvaCgkFb8cCA/edit?usp=sharing"",""มหาสารคาม!L334"")"),101000)</f>
        <v>101000</v>
      </c>
      <c r="M439" s="169"/>
      <c r="N439" s="169">
        <f ca="1">IFERROR(__xludf.DUMMYFUNCTION("IMPORTRANGE(""https://docs.google.com/spreadsheets/d/1XL5vhW3sbDhbH9Cz0tuDiY8C3ctxq1tqvaCgkFb8cCA/edit?usp=sharing"",""มหาสารคาม!M334"")"),62906)</f>
        <v>62906</v>
      </c>
      <c r="O439" s="169">
        <f t="shared" ca="1" si="114"/>
        <v>62.283168316831684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4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IFERROR(__xludf.DUMMYFUNCTION("IMPORTRANGE(""https://docs.google.com/spreadsheets/d/1XL5vhW3sbDhbH9Cz0tuDiY8C3ctxq1tqvaCgkFb8cCA/edit?usp=sharing"",""มหาสารคาม!M335"")"),48986)</f>
        <v>48986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4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4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4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IFERROR(__xludf.DUMMYFUNCTION("IMPORTRANGE(""https://docs.google.com/spreadsheets/d/1XL5vhW3sbDhbH9Cz0tuDiY8C3ctxq1tqvaCgkFb8cCA/edit?usp=sharing"",""มหาสารคาม!M338"")"),13920)</f>
        <v>13920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0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6" t="s">
        <v>162</v>
      </c>
      <c r="H450" s="187" t="s">
        <v>37</v>
      </c>
      <c r="I450" s="341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1" t="s">
        <v>163</v>
      </c>
      <c r="H451" s="187" t="s">
        <v>37</v>
      </c>
      <c r="I451" s="341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6">
        <v>3</v>
      </c>
      <c r="E454" s="207" t="s">
        <v>54</v>
      </c>
      <c r="F454" s="208"/>
      <c r="G454" s="209"/>
      <c r="H454" s="187"/>
      <c r="I454" s="188"/>
      <c r="J454" s="210">
        <f ca="1">IFERROR(__xludf.DUMMYFUNCTION("IMPORTRANGE(""https://docs.google.com/spreadsheets/d/1XL5vhW3sbDhbH9Cz0tuDiY8C3ctxq1tqvaCgkFb8cCA/edit?usp=sharing"",""มหาสารคาม!J349"")"),0)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IFERROR(__xludf.DUMMYFUNCTION("IMPORTRANGE(""https://docs.google.com/spreadsheets/d/1XL5vhW3sbDhbH9Cz0tuDiY8C3ctxq1tqvaCgkFb8cCA/edit?usp=sharing"",""มหาสารคาม!J350"")"),23199)</f>
        <v>23199</v>
      </c>
      <c r="K455" s="372">
        <f ca="1">IF(I455&gt;0,J455*100/I455,0)</f>
        <v>92.844279025093044</v>
      </c>
      <c r="L455" s="373">
        <f ca="1">IFERROR(__xludf.DUMMYFUNCTION("IMPORTRANGE(""https://docs.google.com/spreadsheets/d/1XL5vhW3sbDhbH9Cz0tuDiY8C3ctxq1tqvaCgkFb8cCA/edit?usp=sharing"",""มหาสารคาม!L350"")"),209637)</f>
        <v>209637</v>
      </c>
      <c r="M455" s="373"/>
      <c r="N455" s="373">
        <f ca="1">IFERROR(__xludf.DUMMYFUNCTION("IMPORTRANGE(""https://docs.google.com/spreadsheets/d/1XL5vhW3sbDhbH9Cz0tuDiY8C3ctxq1tqvaCgkFb8cCA/edit?usp=sharing"",""มหาสารคาม!M350"")"),56035.5)</f>
        <v>56035.5</v>
      </c>
      <c r="O455" s="373">
        <f t="shared" ref="O455:O459" ca="1" si="116">+IF(L455&gt;0,N455*100/L455,0)</f>
        <v>26.729775755234048</v>
      </c>
      <c r="P455" s="373"/>
    </row>
    <row r="456" spans="1:16" ht="21.75" customHeight="1" x14ac:dyDescent="0.25">
      <c r="A456" s="158"/>
      <c r="B456" s="159"/>
      <c r="C456" s="159" t="s">
        <v>16</v>
      </c>
      <c r="D456" s="278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IFERROR(__xludf.DUMMYFUNCTION("IMPORTRANGE(""https://docs.google.com/spreadsheets/d/1XL5vhW3sbDhbH9Cz0tuDiY8C3ctxq1tqvaCgkFb8cCA/edit?usp=sharing"",""มหาสารคาม!L352"")"),209637)</f>
        <v>209637</v>
      </c>
      <c r="M457" s="165"/>
      <c r="N457" s="169">
        <f ca="1">IFERROR(__xludf.DUMMYFUNCTION("IMPORTRANGE(""https://docs.google.com/spreadsheets/d/1XL5vhW3sbDhbH9Cz0tuDiY8C3ctxq1tqvaCgkFb8cCA/edit?usp=sharing"",""มหาสารคาม!M352"")"),56035.5)</f>
        <v>56035.5</v>
      </c>
      <c r="O457" s="169">
        <f t="shared" ca="1" si="116"/>
        <v>26.729775755234048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IFERROR(__xludf.DUMMYFUNCTION("IMPORTRANGE(""https://docs.google.com/spreadsheets/d/1XL5vhW3sbDhbH9Cz0tuDiY8C3ctxq1tqvaCgkFb8cCA/edit?usp=sharing"",""มหาสารคาม!L354"")"),209637)</f>
        <v>209637</v>
      </c>
      <c r="M459" s="169"/>
      <c r="N459" s="169">
        <f ca="1">IFERROR(__xludf.DUMMYFUNCTION("IMPORTRANGE(""https://docs.google.com/spreadsheets/d/1XL5vhW3sbDhbH9Cz0tuDiY8C3ctxq1tqvaCgkFb8cCA/edit?usp=sharing"",""มหาสารคาม!M354"")"),56035.5)</f>
        <v>56035.5</v>
      </c>
      <c r="O459" s="169">
        <f t="shared" ca="1" si="116"/>
        <v>26.729775755234048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4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4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4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4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IFERROR(__xludf.DUMMYFUNCTION("IMPORTRANGE(""https://docs.google.com/spreadsheets/d/1XL5vhW3sbDhbH9Cz0tuDiY8C3ctxq1tqvaCgkFb8cCA/edit?usp=sharing"",""มหาสารคาม!M358"")"),56035.5)</f>
        <v>56035.5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IFERROR(__xludf.DUMMYFUNCTION("IMPORTRANGE(""https://docs.google.com/spreadsheets/d/1XL5vhW3sbDhbH9Cz0tuDiY8C3ctxq1tqvaCgkFb8cCA/edit?usp=sharing"",""มหาสารคาม!I359"")"),24987)</f>
        <v>24987</v>
      </c>
      <c r="J464" s="267">
        <f ca="1">IFERROR(__xludf.DUMMYFUNCTION("IMPORTRANGE(""https://docs.google.com/spreadsheets/d/1XL5vhW3sbDhbH9Cz0tuDiY8C3ctxq1tqvaCgkFb8cCA/edit?usp=sharing"",""มหาสารคาม!J359"")"),23199)</f>
        <v>23199</v>
      </c>
      <c r="K464" s="268">
        <f t="shared" ref="K464:K515" ca="1" si="117">IF(I464&gt;0,J464*100/I464,0)</f>
        <v>92.844279025093044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IFERROR(__xludf.DUMMYFUNCTION("IMPORTRANGE(""https://docs.google.com/spreadsheets/d/1XL5vhW3sbDhbH9Cz0tuDiY8C3ctxq1tqvaCgkFb8cCA/edit?usp=sharing"",""มหาสารคาม!J376"")"),23199)</f>
        <v>23199</v>
      </c>
      <c r="K481" s="202">
        <f t="shared" ca="1" si="117"/>
        <v>92.844279025093044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IFERROR(__xludf.DUMMYFUNCTION("IMPORTRANGE(""https://docs.google.com/spreadsheets/d/1XL5vhW3sbDhbH9Cz0tuDiY8C3ctxq1tqvaCgkFb8cCA/edit?usp=sharing"",""มหาสารคาม!J377"")"),2949)</f>
        <v>2949</v>
      </c>
      <c r="K482" s="202">
        <f t="shared" ca="1" si="117"/>
        <v>93.145925457991154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IFERROR(__xludf.DUMMYFUNCTION("IMPORTRANGE(""https://docs.google.com/spreadsheets/d/1XL5vhW3sbDhbH9Cz0tuDiY8C3ctxq1tqvaCgkFb8cCA/edit?usp=sharing"",""มหาสารคาม!J378"")"),23199)</f>
        <v>23199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IFERROR(__xludf.DUMMYFUNCTION("IMPORTRANGE(""https://docs.google.com/spreadsheets/d/1XL5vhW3sbDhbH9Cz0tuDiY8C3ctxq1tqvaCgkFb8cCA/edit?usp=sharing"",""มหาสารคาม!J379"")"),2949)</f>
        <v>2949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IFERROR(__xludf.DUMMYFUNCTION("IMPORTRANGE(""https://docs.google.com/spreadsheets/d/1XL5vhW3sbDhbH9Cz0tuDiY8C3ctxq1tqvaCgkFb8cCA/edit?usp=sharing"",""มหาสารคาม!J392"")"),76)</f>
        <v>76</v>
      </c>
      <c r="K497" s="444">
        <f t="shared" ca="1" si="117"/>
        <v>18.627450980392158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IFERROR(__xludf.DUMMYFUNCTION("IMPORTRANGE(""https://docs.google.com/spreadsheets/d/1XL5vhW3sbDhbH9Cz0tuDiY8C3ctxq1tqvaCgkFb8cCA/edit?usp=sharing"",""มหาสารคาม!J393"")"),76)</f>
        <v>76</v>
      </c>
      <c r="K498" s="202">
        <f t="shared" ca="1" si="117"/>
        <v>18.627450980392158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IFERROR(__xludf.DUMMYFUNCTION("IMPORTRANGE(""https://docs.google.com/spreadsheets/d/1XL5vhW3sbDhbH9Cz0tuDiY8C3ctxq1tqvaCgkFb8cCA/edit?usp=sharing"",""มหาสารคาม!J394"")"),10)</f>
        <v>10</v>
      </c>
      <c r="K499" s="202">
        <f t="shared" ca="1" si="117"/>
        <v>27.777777777777779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IFERROR(__xludf.DUMMYFUNCTION("IMPORTRANGE(""https://docs.google.com/spreadsheets/d/1XL5vhW3sbDhbH9Cz0tuDiY8C3ctxq1tqvaCgkFb8cCA/edit?usp=sharing"",""มหาสารคาม!J395"")"),67)</f>
        <v>67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IFERROR(__xludf.DUMMYFUNCTION("IMPORTRANGE(""https://docs.google.com/spreadsheets/d/1XL5vhW3sbDhbH9Cz0tuDiY8C3ctxq1tqvaCgkFb8cCA/edit?usp=sharing"",""มหาสารคาม!J396"")"),9)</f>
        <v>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IFERROR(__xludf.DUMMYFUNCTION("IMPORTRANGE(""https://docs.google.com/spreadsheets/d/1XL5vhW3sbDhbH9Cz0tuDiY8C3ctxq1tqvaCgkFb8cCA/edit?usp=sharing"",""มหาสารคาม!J397"")"),67)</f>
        <v>67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IFERROR(__xludf.DUMMYFUNCTION("IMPORTRANGE(""https://docs.google.com/spreadsheets/d/1XL5vhW3sbDhbH9Cz0tuDiY8C3ctxq1tqvaCgkFb8cCA/edit?usp=sharing"",""มหาสารคาม!J398"")"),9)</f>
        <v>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IFERROR(__xludf.DUMMYFUNCTION("IMPORTRANGE(""https://docs.google.com/spreadsheets/d/1XL5vhW3sbDhbH9Cz0tuDiY8C3ctxq1tqvaCgkFb8cCA/edit?usp=sharing"",""มหาสารคาม!J403"")"),9)</f>
        <v>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IFERROR(__xludf.DUMMYFUNCTION("IMPORTRANGE(""https://docs.google.com/spreadsheets/d/1XL5vhW3sbDhbH9Cz0tuDiY8C3ctxq1tqvaCgkFb8cCA/edit?usp=sharing"",""มหาสารคาม!J405"")"),9)</f>
        <v>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IFERROR(__xludf.DUMMYFUNCTION("IMPORTRANGE(""https://docs.google.com/spreadsheets/d/1XL5vhW3sbDhbH9Cz0tuDiY8C3ctxq1tqvaCgkFb8cCA/edit?usp=sharing"",""มหาสารคาม!I411"")"),0)</f>
        <v>0</v>
      </c>
      <c r="J516" s="267">
        <f ca="1">IFERROR(__xludf.DUMMYFUNCTION("IMPORTRANGE(""https://docs.google.com/spreadsheets/d/1XL5vhW3sbDhbH9Cz0tuDiY8C3ctxq1tqvaCgkFb8cCA/edit?usp=sharing"",""มหาสารคาม!J411"")"),0)</f>
        <v>0</v>
      </c>
      <c r="K516" s="268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IFERROR(__xludf.DUMMYFUNCTION("IMPORTRANGE(""https://docs.google.com/spreadsheets/d/1XL5vhW3sbDhbH9Cz0tuDiY8C3ctxq1tqvaCgkFb8cCA/edit?usp=sharing"",""มหาสารคาม!I412"")"),0)</f>
        <v>0</v>
      </c>
      <c r="J517" s="284">
        <f ca="1">IFERROR(__xludf.DUMMYFUNCTION("IMPORTRANGE(""https://docs.google.com/spreadsheets/d/1XL5vhW3sbDhbH9Cz0tuDiY8C3ctxq1tqvaCgkFb8cCA/edit?usp=sharing"",""มหาสารคาม!J412"")"),0)</f>
        <v>0</v>
      </c>
      <c r="K517" s="285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IFERROR(__xludf.DUMMYFUNCTION("IMPORTRANGE(""https://docs.google.com/spreadsheets/d/1XL5vhW3sbDhbH9Cz0tuDiY8C3ctxq1tqvaCgkFb8cCA/edit?usp=sharing"",""มหาสารคาม!I413"")"),0)</f>
        <v>0</v>
      </c>
      <c r="J518" s="284">
        <f ca="1">IFERROR(__xludf.DUMMYFUNCTION("IMPORTRANGE(""https://docs.google.com/spreadsheets/d/1XL5vhW3sbDhbH9Cz0tuDiY8C3ctxq1tqvaCgkFb8cCA/edit?usp=sharing"",""มหาสารคาม!J413"")"),0)</f>
        <v>0</v>
      </c>
      <c r="K518" s="285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6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6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IFERROR(__xludf.DUMMYFUNCTION("IMPORTRANGE(""https://docs.google.com/spreadsheets/d/1XL5vhW3sbDhbH9Cz0tuDiY8C3ctxq1tqvaCgkFb8cCA/edit?usp=sharing"",""มหาสารคาม!I420"")"),0)</f>
        <v>0</v>
      </c>
      <c r="J525" s="284">
        <f ca="1">IFERROR(__xludf.DUMMYFUNCTION("IMPORTRANGE(""https://docs.google.com/spreadsheets/d/1XL5vhW3sbDhbH9Cz0tuDiY8C3ctxq1tqvaCgkFb8cCA/edit?usp=sharing"",""มหาสารคาม!J420"")"),0)</f>
        <v>0</v>
      </c>
      <c r="K525" s="285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IFERROR(__xludf.DUMMYFUNCTION("IMPORTRANGE(""https://docs.google.com/spreadsheets/d/1XL5vhW3sbDhbH9Cz0tuDiY8C3ctxq1tqvaCgkFb8cCA/edit?usp=sharing"",""มหาสารคาม!I421"")"),0)</f>
        <v>0</v>
      </c>
      <c r="J526" s="284">
        <f ca="1">IFERROR(__xludf.DUMMYFUNCTION("IMPORTRANGE(""https://docs.google.com/spreadsheets/d/1XL5vhW3sbDhbH9Cz0tuDiY8C3ctxq1tqvaCgkFb8cCA/edit?usp=sharing"",""มหาสารคาม!J421"")"),0)</f>
        <v>0</v>
      </c>
      <c r="K526" s="285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6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6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6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IFERROR(__xludf.DUMMYFUNCTION("IMPORTRANGE(""https://docs.google.com/spreadsheets/d/1XL5vhW3sbDhbH9Cz0tuDiY8C3ctxq1tqvaCgkFb8cCA/edit?usp=sharing"",""มหาสารคาม!M428"")"),27480)</f>
        <v>27480</v>
      </c>
      <c r="O533" s="412">
        <f t="shared" ref="O533:O537" ca="1" si="118">+IF(L533&gt;0,N533*100/L533,0)</f>
        <v>80.023296447291784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8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IFERROR(__xludf.DUMMYFUNCTION("IMPORTRANGE(""https://docs.google.com/spreadsheets/d/1XL5vhW3sbDhbH9Cz0tuDiY8C3ctxq1tqvaCgkFb8cCA/edit?usp=sharing"",""มหาสารคาม!M430"")"),27480)</f>
        <v>27480</v>
      </c>
      <c r="O535" s="169">
        <f t="shared" ca="1" si="118"/>
        <v>80.023296447291784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IFERROR(__xludf.DUMMYFUNCTION("IMPORTRANGE(""https://docs.google.com/spreadsheets/d/1XL5vhW3sbDhbH9Cz0tuDiY8C3ctxq1tqvaCgkFb8cCA/edit?usp=sharing"",""มหาสารคาม!M432"")"),27480)</f>
        <v>27480</v>
      </c>
      <c r="O537" s="169">
        <f t="shared" ca="1" si="118"/>
        <v>80.023296447291784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4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4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4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4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IFERROR(__xludf.DUMMYFUNCTION("IMPORTRANGE(""https://docs.google.com/spreadsheets/d/1XL5vhW3sbDhbH9Cz0tuDiY8C3ctxq1tqvaCgkFb8cCA/edit?usp=sharing"",""มหาสารคาม!M436"")"),8870)</f>
        <v>8870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6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6" t="s">
        <v>204</v>
      </c>
      <c r="H548" s="187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8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4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4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4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4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79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4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4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IFERROR(__xludf.DUMMYFUNCTION("IMPORTRANGE(""https://docs.google.com/spreadsheets/d/1XL5vhW3sbDhbH9Cz0tuDiY8C3ctxq1tqvaCgkFb8cCA/edit?usp=sharing"",""มหาสารคาม!J459"")"),1686)</f>
        <v>1686</v>
      </c>
      <c r="K564" s="372">
        <f ca="1">IF(I564&gt;0,J564*100/I564,0)</f>
        <v>177.47368421052633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IFERROR(__xludf.DUMMYFUNCTION("IMPORTRANGE(""https://docs.google.com/spreadsheets/d/1XL5vhW3sbDhbH9Cz0tuDiY8C3ctxq1tqvaCgkFb8cCA/edit?usp=sharing"",""มหาสารคาม!M459"")"),91015.48)</f>
        <v>91015.48</v>
      </c>
      <c r="O564" s="373">
        <f t="shared" ref="O564:O568" ca="1" si="122">+IF(L564&gt;0,N564*100/L564,0)</f>
        <v>72.188673857868025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8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IFERROR(__xludf.DUMMYFUNCTION("IMPORTRANGE(""https://docs.google.com/spreadsheets/d/1XL5vhW3sbDhbH9Cz0tuDiY8C3ctxq1tqvaCgkFb8cCA/edit?usp=sharing"",""มหาสารคาม!M461"")"),91015.48)</f>
        <v>91015.48</v>
      </c>
      <c r="O566" s="169">
        <f t="shared" ca="1" si="122"/>
        <v>72.188673857868025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IFERROR(__xludf.DUMMYFUNCTION("IMPORTRANGE(""https://docs.google.com/spreadsheets/d/1XL5vhW3sbDhbH9Cz0tuDiY8C3ctxq1tqvaCgkFb8cCA/edit?usp=sharing"",""มหาสารคาม!M463"")"),91015.48)</f>
        <v>91015.48</v>
      </c>
      <c r="O568" s="169">
        <f t="shared" ca="1" si="122"/>
        <v>72.188673857868025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4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4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4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IFERROR(__xludf.DUMMYFUNCTION("IMPORTRANGE(""https://docs.google.com/spreadsheets/d/1XL5vhW3sbDhbH9Cz0tuDiY8C3ctxq1tqvaCgkFb8cCA/edit?usp=sharing"",""มหาสารคาม!M466"")"),77935.48)</f>
        <v>77935.48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4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IFERROR(__xludf.DUMMYFUNCTION("IMPORTRANGE(""https://docs.google.com/spreadsheets/d/1XL5vhW3sbDhbH9Cz0tuDiY8C3ctxq1tqvaCgkFb8cCA/edit?usp=sharing"",""มหาสารคาม!M467"")"),13080)</f>
        <v>13080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IFERROR(__xludf.DUMMYFUNCTION("IMPORTRANGE(""https://docs.google.com/spreadsheets/d/1XL5vhW3sbDhbH9Cz0tuDiY8C3ctxq1tqvaCgkFb8cCA/edit?usp=sharing"",""มหาสารคาม!J468"")"),1686)</f>
        <v>1686</v>
      </c>
      <c r="K573" s="202">
        <f ca="1">IF(I573&gt;0,J573*100/I573,0)</f>
        <v>177.47368421052633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IFERROR(__xludf.DUMMYFUNCTION("IMPORTRANGE(""https://docs.google.com/spreadsheets/d/1XL5vhW3sbDhbH9Cz0tuDiY8C3ctxq1tqvaCgkFb8cCA/edit?usp=sharing"",""มหาสารคาม!J471"")"),50)</f>
        <v>50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IFERROR(__xludf.DUMMYFUNCTION("IMPORTRANGE(""https://docs.google.com/spreadsheets/d/1XL5vhW3sbDhbH9Cz0tuDiY8C3ctxq1tqvaCgkFb8cCA/edit?usp=sharing"",""มหาสารคาม!J472"")"),1636)</f>
        <v>1636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8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4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4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4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4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1"/>
      <c r="E589" s="195" t="s">
        <v>217</v>
      </c>
      <c r="F589" s="196"/>
      <c r="G589" s="197"/>
      <c r="H589" s="181" t="s">
        <v>36</v>
      </c>
      <c r="I589" s="341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1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1"/>
      <c r="E591" s="195" t="s">
        <v>123</v>
      </c>
      <c r="F591" s="196"/>
      <c r="G591" s="197"/>
      <c r="H591" s="181" t="s">
        <v>37</v>
      </c>
      <c r="I591" s="341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1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2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1"/>
      <c r="E593" s="195" t="s">
        <v>124</v>
      </c>
      <c r="F593" s="196"/>
      <c r="G593" s="197"/>
      <c r="H593" s="181" t="s">
        <v>37</v>
      </c>
      <c r="I593" s="341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1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2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1"/>
      <c r="E595" s="195" t="s">
        <v>125</v>
      </c>
      <c r="F595" s="196"/>
      <c r="G595" s="197"/>
      <c r="H595" s="181" t="s">
        <v>37</v>
      </c>
      <c r="I595" s="341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IFERROR(__xludf.DUMMYFUNCTION("IMPORTRANGE(""https://docs.google.com/spreadsheets/d/1XL5vhW3sbDhbH9Cz0tuDiY8C3ctxq1tqvaCgkFb8cCA/edit?usp=sharing"",""มหาสารคาม!I491"")"),0)</f>
        <v>0</v>
      </c>
      <c r="J596" s="241">
        <f ca="1">IFERROR(__xludf.DUMMYFUNCTION("IMPORTRANGE(""https://docs.google.com/spreadsheets/d/1XL5vhW3sbDhbH9Cz0tuDiY8C3ctxq1tqvaCgkFb8cCA/edit?usp=sharing"",""มหาสารคาม!J491"")"),0)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7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IFERROR(__xludf.DUMMYFUNCTION("IMPORTRANGE(""https://docs.google.com/spreadsheets/d/1XL5vhW3sbDhbH9Cz0tuDiY8C3ctxq1tqvaCgkFb8cCA/edit?usp=sharing"",""มหาสารคาม!L492"")"),15300)</f>
        <v>15300</v>
      </c>
      <c r="M597" s="412"/>
      <c r="N597" s="412">
        <f ca="1">IFERROR(__xludf.DUMMYFUNCTION("IMPORTRANGE(""https://docs.google.com/spreadsheets/d/1XL5vhW3sbDhbH9Cz0tuDiY8C3ctxq1tqvaCgkFb8cCA/edit?usp=sharing"",""มหาสารคาม!M492"")"),6200)</f>
        <v>6200</v>
      </c>
      <c r="O597" s="412">
        <f t="shared" ref="O597:O601" ca="1" si="126">+IF(L597&gt;0,N597*100/L597,0)</f>
        <v>40.522875816993462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8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IFERROR(__xludf.DUMMYFUNCTION("IMPORTRANGE(""https://docs.google.com/spreadsheets/d/1XL5vhW3sbDhbH9Cz0tuDiY8C3ctxq1tqvaCgkFb8cCA/edit?usp=sharing"",""มหาสารคาม!L494"")"),15300)</f>
        <v>15300</v>
      </c>
      <c r="M599" s="165"/>
      <c r="N599" s="169">
        <f ca="1">IFERROR(__xludf.DUMMYFUNCTION("IMPORTRANGE(""https://docs.google.com/spreadsheets/d/1XL5vhW3sbDhbH9Cz0tuDiY8C3ctxq1tqvaCgkFb8cCA/edit?usp=sharing"",""มหาสารคาม!M494"")"),6200)</f>
        <v>6200</v>
      </c>
      <c r="O599" s="169">
        <f t="shared" ca="1" si="126"/>
        <v>40.522875816993462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IFERROR(__xludf.DUMMYFUNCTION("IMPORTRANGE(""https://docs.google.com/spreadsheets/d/1XL5vhW3sbDhbH9Cz0tuDiY8C3ctxq1tqvaCgkFb8cCA/edit?usp=sharing"",""มหาสารคาม!L496"")"),15300)</f>
        <v>15300</v>
      </c>
      <c r="M601" s="169"/>
      <c r="N601" s="169">
        <f ca="1">IFERROR(__xludf.DUMMYFUNCTION("IMPORTRANGE(""https://docs.google.com/spreadsheets/d/1XL5vhW3sbDhbH9Cz0tuDiY8C3ctxq1tqvaCgkFb8cCA/edit?usp=sharing"",""มหาสารคาม!M496"")"),6200)</f>
        <v>6200</v>
      </c>
      <c r="O601" s="169">
        <f t="shared" ca="1" si="126"/>
        <v>40.522875816993462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4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4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4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4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IFERROR(__xludf.DUMMYFUNCTION("IMPORTRANGE(""https://docs.google.com/spreadsheets/d/1XL5vhW3sbDhbH9Cz0tuDiY8C3ctxq1tqvaCgkFb8cCA/edit?usp=sharing"",""มหาสารคาม!M500"")"),6200)</f>
        <v>6200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IFERROR(__xludf.DUMMYFUNCTION("IMPORTRANGE(""https://docs.google.com/spreadsheets/d/1XL5vhW3sbDhbH9Cz0tuDiY8C3ctxq1tqvaCgkFb8cCA/edit?usp=sharing"",""มหาสารคาม!J166"")"),0)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IFERROR(__xludf.DUMMYFUNCTION("IMPORTRANGE(""https://docs.google.com/spreadsheets/d/1XL5vhW3sbDhbH9Cz0tuDiY8C3ctxq1tqvaCgkFb8cCA/edit?usp=sharing"",""มหาสารคาม!J166"")"),0)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6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6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6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6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6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6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1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1">
        <f ca="1">IFERROR(__xludf.DUMMYFUNCTION("IMPORTRANGE(""https://docs.google.com/spreadsheets/d/1XL5vhW3sbDhbH9Cz0tuDiY8C3ctxq1tqvaCgkFb8cCA/edit?usp=sharing"",""มหาสารคาม!J523"")"),6282653.46)</f>
        <v>6282653.46</v>
      </c>
      <c r="K628" s="342">
        <f t="shared" ref="K628:K635" ca="1" si="129">IF(I628&gt;0,J628*100/I628,0)</f>
        <v>42.207143776492813</v>
      </c>
      <c r="L628" s="342"/>
      <c r="M628" s="342"/>
      <c r="N628" s="342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1">
        <f ca="1">IFERROR(__xludf.DUMMYFUNCTION("IMPORTRANGE(""https://docs.google.com/spreadsheets/d/1XL5vhW3sbDhbH9Cz0tuDiY8C3ctxq1tqvaCgkFb8cCA/edit?usp=sharing"",""มหาสารคาม!I524"")"),1487)</f>
        <v>1487</v>
      </c>
      <c r="J629" s="341">
        <f ca="1">IFERROR(__xludf.DUMMYFUNCTION("IMPORTRANGE(""https://docs.google.com/spreadsheets/d/1XL5vhW3sbDhbH9Cz0tuDiY8C3ctxq1tqvaCgkFb8cCA/edit?usp=sharing"",""มหาสารคาม!J524"")"),585)</f>
        <v>585</v>
      </c>
      <c r="K629" s="342">
        <f t="shared" ca="1" si="129"/>
        <v>39.340954942837932</v>
      </c>
      <c r="L629" s="342"/>
      <c r="M629" s="342"/>
      <c r="N629" s="342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1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1">
        <f ca="1">IFERROR(__xludf.DUMMYFUNCTION("IMPORTRANGE(""https://docs.google.com/spreadsheets/d/1XL5vhW3sbDhbH9Cz0tuDiY8C3ctxq1tqvaCgkFb8cCA/edit?usp=sharing"",""มหาสารคาม!J525"")"),1331073.09)</f>
        <v>1331073.0900000001</v>
      </c>
      <c r="K630" s="342">
        <f t="shared" ca="1" si="129"/>
        <v>20.048645827199014</v>
      </c>
      <c r="L630" s="342"/>
      <c r="M630" s="342"/>
      <c r="N630" s="342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1">
        <f ca="1">IFERROR(__xludf.DUMMYFUNCTION("IMPORTRANGE(""https://docs.google.com/spreadsheets/d/1XL5vhW3sbDhbH9Cz0tuDiY8C3ctxq1tqvaCgkFb8cCA/edit?usp=sharing"",""มหาสารคาม!I526"")"),300)</f>
        <v>300</v>
      </c>
      <c r="J631" s="341">
        <f ca="1">IFERROR(__xludf.DUMMYFUNCTION("IMPORTRANGE(""https://docs.google.com/spreadsheets/d/1XL5vhW3sbDhbH9Cz0tuDiY8C3ctxq1tqvaCgkFb8cCA/edit?usp=sharing"",""มหาสารคาม!J526"")"),128)</f>
        <v>128</v>
      </c>
      <c r="K631" s="342">
        <f t="shared" ca="1" si="129"/>
        <v>42.666666666666664</v>
      </c>
      <c r="L631" s="342"/>
      <c r="M631" s="342"/>
      <c r="N631" s="342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1">
        <f ca="1">IFERROR(__xludf.DUMMYFUNCTION("IMPORTRANGE(""https://docs.google.com/spreadsheets/d/1XL5vhW3sbDhbH9Cz0tuDiY8C3ctxq1tqvaCgkFb8cCA/edit?usp=sharing"",""มหาสารคาม!I527"")"),0)</f>
        <v>0</v>
      </c>
      <c r="J632" s="341">
        <f ca="1">IFERROR(__xludf.DUMMYFUNCTION("IMPORTRANGE(""https://docs.google.com/spreadsheets/d/1XL5vhW3sbDhbH9Cz0tuDiY8C3ctxq1tqvaCgkFb8cCA/edit?usp=sharing"",""มหาสารคาม!J527"")"),0)</f>
        <v>0</v>
      </c>
      <c r="K632" s="342">
        <f t="shared" ca="1" si="129"/>
        <v>0</v>
      </c>
      <c r="L632" s="342"/>
      <c r="M632" s="342"/>
      <c r="N632" s="342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1">
        <f ca="1">IFERROR(__xludf.DUMMYFUNCTION("IMPORTRANGE(""https://docs.google.com/spreadsheets/d/1XL5vhW3sbDhbH9Cz0tuDiY8C3ctxq1tqvaCgkFb8cCA/edit?usp=sharing"",""มหาสารคาม!I528"")"),0)</f>
        <v>0</v>
      </c>
      <c r="J633" s="341">
        <f ca="1">IFERROR(__xludf.DUMMYFUNCTION("IMPORTRANGE(""https://docs.google.com/spreadsheets/d/1XL5vhW3sbDhbH9Cz0tuDiY8C3ctxq1tqvaCgkFb8cCA/edit?usp=sharing"",""มหาสารคาม!J528"")"),0)</f>
        <v>0</v>
      </c>
      <c r="K633" s="342">
        <f t="shared" ca="1" si="129"/>
        <v>0</v>
      </c>
      <c r="L633" s="342"/>
      <c r="M633" s="342"/>
      <c r="N633" s="342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1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1">
        <f ca="1">IFERROR(__xludf.DUMMYFUNCTION("IMPORTRANGE(""https://docs.google.com/spreadsheets/d/1XL5vhW3sbDhbH9Cz0tuDiY8C3ctxq1tqvaCgkFb8cCA/edit?usp=sharing"",""มหาสารคาม!J529"")"),6400000)</f>
        <v>6400000</v>
      </c>
      <c r="K634" s="342">
        <f t="shared" ca="1" si="129"/>
        <v>32</v>
      </c>
      <c r="L634" s="342"/>
      <c r="M634" s="342"/>
      <c r="N634" s="342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IFERROR(__xludf.DUMMYFUNCTION("IMPORTRANGE(""https://docs.google.com/spreadsheets/d/1XL5vhW3sbDhbH9Cz0tuDiY8C3ctxq1tqvaCgkFb8cCA/edit?usp=sharing"",""มหาสารคาม!I530"")"),400)</f>
        <v>400</v>
      </c>
      <c r="J635" s="504">
        <f ca="1">IFERROR(__xludf.DUMMYFUNCTION("IMPORTRANGE(""https://docs.google.com/spreadsheets/d/1XL5vhW3sbDhbH9Cz0tuDiY8C3ctxq1tqvaCgkFb8cCA/edit?usp=sharing"",""มหาสารคาม!J530"")"),128)</f>
        <v>128</v>
      </c>
      <c r="K635" s="486">
        <f t="shared" ca="1" si="129"/>
        <v>32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68" t="s">
        <v>237</v>
      </c>
      <c r="C636" s="669"/>
      <c r="D636" s="669"/>
      <c r="E636" s="669"/>
      <c r="F636" s="669"/>
      <c r="G636" s="670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3"/>
      <c r="F637" s="643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3"/>
      <c r="F645" s="643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3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IFERROR(__xludf.DUMMYFUNCTION("IMPORTRANGE(""https://docs.google.com/spreadsheets/d/1XL5vhW3sbDhbH9Cz0tuDiY8C3ctxq1tqvaCgkFb8cCA/edit#gid=346597447"",""มหาสารคาม!J541"")"),0)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3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IFERROR(__xludf.DUMMYFUNCTION("IMPORTRANGE(""https://docs.google.com/spreadsheets/d/1XL5vhW3sbDhbH9Cz0tuDiY8C3ctxq1tqvaCgkFb8cCA/edit#gid=346597447"",""มหาสารคาม!J542"")"),0)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IFERROR(__xludf.DUMMYFUNCTION("IMPORTRANGE(""https://docs.google.com/spreadsheets/d/1XL5vhW3sbDhbH9Cz0tuDiY8C3ctxq1tqvaCgkFb8cCA/edit#gid=346597447"",""มหาสารคาม!I543"")"),0)</f>
        <v>0</v>
      </c>
      <c r="J648" s="585">
        <f ca="1">IFERROR(__xludf.DUMMYFUNCTION("IMPORTRANGE(""https://docs.google.com/spreadsheets/d/1XL5vhW3sbDhbH9Cz0tuDiY8C3ctxq1tqvaCgkFb8cCA/edit#gid=346597447"",""มหาสารคาม!J543"")"),0)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IFERROR(__xludf.DUMMYFUNCTION("IMPORTRANGE(""https://docs.google.com/spreadsheets/d/1XL5vhW3sbDhbH9Cz0tuDiY8C3ctxq1tqvaCgkFb8cCA/edit#gid=346597447"",""มหาสารคาม!L543"")"),0)</f>
        <v>0</v>
      </c>
      <c r="M648" s="570"/>
      <c r="N648" s="587">
        <f ca="1">IFERROR(__xludf.DUMMYFUNCTION("IMPORTRANGE(""https://docs.google.com/spreadsheets/d/1XL5vhW3sbDhbH9Cz0tuDiY8C3ctxq1tqvaCgkFb8cCA/edit#gid=346597447"",""มหาสารคาม!M543"")"),0)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IFERROR(__xludf.DUMMYFUNCTION("IMPORTRANGE(""https://docs.google.com/spreadsheets/d/1XL5vhW3sbDhbH9Cz0tuDiY8C3ctxq1tqvaCgkFb8cCA/edit#gid=346597447"",""มหาสารคาม!I544"")"),0)</f>
        <v>0</v>
      </c>
      <c r="J649" s="585">
        <f ca="1">IFERROR(__xludf.DUMMYFUNCTION("IMPORTRANGE(""https://docs.google.com/spreadsheets/d/1XL5vhW3sbDhbH9Cz0tuDiY8C3ctxq1tqvaCgkFb8cCA/edit#gid=346597447"",""มหาสารคาม!J544"")"),0)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IFERROR(__xludf.DUMMYFUNCTION("IMPORTRANGE(""https://docs.google.com/spreadsheets/d/1XL5vhW3sbDhbH9Cz0tuDiY8C3ctxq1tqvaCgkFb8cCA/edit#gid=346597447"",""มหาสารคาม!L544"")"),0)</f>
        <v>0</v>
      </c>
      <c r="M649" s="570"/>
      <c r="N649" s="587">
        <f ca="1">IFERROR(__xludf.DUMMYFUNCTION("IMPORTRANGE(""https://docs.google.com/spreadsheets/d/1XL5vhW3sbDhbH9Cz0tuDiY8C3ctxq1tqvaCgkFb8cCA/edit#gid=346597447"",""มหาสารคาม!M544"")"),0)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IFERROR(__xludf.DUMMYFUNCTION("IMPORTRANGE(""https://docs.google.com/spreadsheets/d/1XL5vhW3sbDhbH9Cz0tuDiY8C3ctxq1tqvaCgkFb8cCA/edit#gid=346597447"",""มหาสารคาม!I545"")"),0)</f>
        <v>0</v>
      </c>
      <c r="J650" s="585">
        <f ca="1">IFERROR(__xludf.DUMMYFUNCTION("IMPORTRANGE(""https://docs.google.com/spreadsheets/d/1XL5vhW3sbDhbH9Cz0tuDiY8C3ctxq1tqvaCgkFb8cCA/edit#gid=346597447"",""มหาสารคาม!J545"")"),0)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IFERROR(__xludf.DUMMYFUNCTION("IMPORTRANGE(""https://docs.google.com/spreadsheets/d/1XL5vhW3sbDhbH9Cz0tuDiY8C3ctxq1tqvaCgkFb8cCA/edit#gid=346597447"",""มหาสารคาม!L545"")"),0)</f>
        <v>0</v>
      </c>
      <c r="M650" s="570"/>
      <c r="N650" s="587">
        <f ca="1">IFERROR(__xludf.DUMMYFUNCTION("IMPORTRANGE(""https://docs.google.com/spreadsheets/d/1XL5vhW3sbDhbH9Cz0tuDiY8C3ctxq1tqvaCgkFb8cCA/edit#gid=346597447"",""มหาสารคาม!M545"")"),0)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IFERROR(__xludf.DUMMYFUNCTION("IMPORTRANGE(""https://docs.google.com/spreadsheets/d/1XL5vhW3sbDhbH9Cz0tuDiY8C3ctxq1tqvaCgkFb8cCA/edit#gid=346597447"",""มหาสารคาม!I546"")"),0)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IFERROR(__xludf.DUMMYFUNCTION("IMPORTRANGE(""https://docs.google.com/spreadsheets/d/1XL5vhW3sbDhbH9Cz0tuDiY8C3ctxq1tqvaCgkFb8cCA/edit#gid=346597447"",""มหาสารคาม!L546"")"),0)</f>
        <v>0</v>
      </c>
      <c r="M651" s="570"/>
      <c r="N651" s="587">
        <f ca="1">IFERROR(__xludf.DUMMYFUNCTION("IMPORTRANGE(""https://docs.google.com/spreadsheets/d/1XL5vhW3sbDhbH9Cz0tuDiY8C3ctxq1tqvaCgkFb8cCA/edit#gid=346597447"",""มหาสารคาม!M546"")"),0)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IFERROR(__xludf.DUMMYFUNCTION("IMPORTRANGE(""https://docs.google.com/spreadsheets/d/1XL5vhW3sbDhbH9Cz0tuDiY8C3ctxq1tqvaCgkFb8cCA/edit#gid=346597447"",""มหาสารคาม!J547"")"),0)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IFERROR(__xludf.DUMMYFUNCTION("IMPORTRANGE(""https://docs.google.com/spreadsheets/d/1XL5vhW3sbDhbH9Cz0tuDiY8C3ctxq1tqvaCgkFb8cCA/edit#gid=346597447"",""มหาสารคาม!J548"")"),0)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IFERROR(__xludf.DUMMYFUNCTION("IMPORTRANGE(""https://docs.google.com/spreadsheets/d/1XL5vhW3sbDhbH9Cz0tuDiY8C3ctxq1tqvaCgkFb8cCA/edit#gid=346597447"",""มหาสารคาม!J550"")"),0)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IFERROR(__xludf.DUMMYFUNCTION("IMPORTRANGE(""https://docs.google.com/spreadsheets/d/1XL5vhW3sbDhbH9Cz0tuDiY8C3ctxq1tqvaCgkFb8cCA/edit#gid=346597447"",""มหาสารคาม!J551"")"),0)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IFERROR(__xludf.DUMMYFUNCTION("IMPORTRANGE(""https://docs.google.com/spreadsheets/d/1XL5vhW3sbDhbH9Cz0tuDiY8C3ctxq1tqvaCgkFb8cCA/edit#gid=346597447"",""มหาสารคาม!J552"")"),0)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IFERROR(__xludf.DUMMYFUNCTION("IMPORTRANGE(""https://docs.google.com/spreadsheets/d/1XL5vhW3sbDhbH9Cz0tuDiY8C3ctxq1tqvaCgkFb8cCA/edit#gid=346597447"",""มหาสารคาม!J553"")"),0)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IFERROR(__xludf.DUMMYFUNCTION("IMPORTRANGE(""https://docs.google.com/spreadsheets/d/1XL5vhW3sbDhbH9Cz0tuDiY8C3ctxq1tqvaCgkFb8cCA/edit#gid=346597447"",""มหาสารคาม!J554"")"),0)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IFERROR(__xludf.DUMMYFUNCTION("IMPORTRANGE(""https://docs.google.com/spreadsheets/d/1XL5vhW3sbDhbH9Cz0tuDiY8C3ctxq1tqvaCgkFb8cCA/edit#gid=346597447"",""มหาสารคาม!J555"")"),0)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IFERROR(__xludf.DUMMYFUNCTION("IMPORTRANGE(""https://docs.google.com/spreadsheets/d/1XL5vhW3sbDhbH9Cz0tuDiY8C3ctxq1tqvaCgkFb8cCA/edit#gid=346597447"",""มหาสารคาม!J556"")"),0)</f>
        <v>0</v>
      </c>
      <c r="K661" s="586"/>
      <c r="L661" s="571">
        <f ca="1">IFERROR(__xludf.DUMMYFUNCTION("IMPORTRANGE(""https://docs.google.com/spreadsheets/d/1XL5vhW3sbDhbH9Cz0tuDiY8C3ctxq1tqvaCgkFb8cCA/edit#gid=346597447"",""มหาสารคาม!L556"")"),0)</f>
        <v>0</v>
      </c>
      <c r="M661" s="570"/>
      <c r="N661" s="587">
        <f ca="1">IFERROR(__xludf.DUMMYFUNCTION("IMPORTRANGE(""https://docs.google.com/spreadsheets/d/1XL5vhW3sbDhbH9Cz0tuDiY8C3ctxq1tqvaCgkFb8cCA/edit#gid=346597447"",""มหาสารคาม!M556"")"),0)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IFERROR(__xludf.DUMMYFUNCTION("IMPORTRANGE(""https://docs.google.com/spreadsheets/d/1XL5vhW3sbDhbH9Cz0tuDiY8C3ctxq1tqvaCgkFb8cCA/edit#gid=346597447"",""มหาสารคาม!J557"")"),0)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IFERROR(__xludf.DUMMYFUNCTION("IMPORTRANGE(""https://docs.google.com/spreadsheets/d/1XL5vhW3sbDhbH9Cz0tuDiY8C3ctxq1tqvaCgkFb8cCA/edit#gid=346597447"",""มหาสารคาม!I558"")"),0)</f>
        <v>0</v>
      </c>
      <c r="J663" s="585">
        <f ca="1">IFERROR(__xludf.DUMMYFUNCTION("IMPORTRANGE(""https://docs.google.com/spreadsheets/d/1XL5vhW3sbDhbH9Cz0tuDiY8C3ctxq1tqvaCgkFb8cCA/edit#gid=346597447"",""มหาสารคาม!J558"")"),0)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IFERROR(__xludf.DUMMYFUNCTION("IMPORTRANGE(""https://docs.google.com/spreadsheets/d/1XL5vhW3sbDhbH9Cz0tuDiY8C3ctxq1tqvaCgkFb8cCA/edit#gid=346597447"",""มหาสารคาม!I560"")"),0)</f>
        <v>0</v>
      </c>
      <c r="J665" s="585">
        <f ca="1">IFERROR(__xludf.DUMMYFUNCTION("IMPORTRANGE(""https://docs.google.com/spreadsheets/d/1XL5vhW3sbDhbH9Cz0tuDiY8C3ctxq1tqvaCgkFb8cCA/edit#gid=346597447"",""มหาสารคาม!J560"")"),0)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IFERROR(__xludf.DUMMYFUNCTION("IMPORTRANGE(""https://docs.google.com/spreadsheets/d/1XL5vhW3sbDhbH9Cz0tuDiY8C3ctxq1tqvaCgkFb8cCA/edit#gid=346597447"",""มหาสารคาม!L560"")"),0)</f>
        <v>0</v>
      </c>
      <c r="M665" s="570"/>
      <c r="N665" s="587">
        <f ca="1">IFERROR(__xludf.DUMMYFUNCTION("IMPORTRANGE(""https://docs.google.com/spreadsheets/d/1XL5vhW3sbDhbH9Cz0tuDiY8C3ctxq1tqvaCgkFb8cCA/edit#gid=346597447"",""มหาสารคาม!M560"")"),0)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IFERROR(__xludf.DUMMYFUNCTION("IMPORTRANGE(""https://docs.google.com/spreadsheets/d/1XL5vhW3sbDhbH9Cz0tuDiY8C3ctxq1tqvaCgkFb8cCA/edit#gid=346597447"",""มหาสารคาม!J561"")"),0)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IFERROR(__xludf.DUMMYFUNCTION("IMPORTRANGE(""https://docs.google.com/spreadsheets/d/1XL5vhW3sbDhbH9Cz0tuDiY8C3ctxq1tqvaCgkFb8cCA/edit#gid=346597447"",""มหาสารคาม!J562"")"),0)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IFERROR(__xludf.DUMMYFUNCTION("IMPORTRANGE(""https://docs.google.com/spreadsheets/d/1XL5vhW3sbDhbH9Cz0tuDiY8C3ctxq1tqvaCgkFb8cCA/edit#gid=346597447"",""มหาสารคาม!I563"")"),0)</f>
        <v>0</v>
      </c>
      <c r="J668" s="585">
        <f ca="1">IFERROR(__xludf.DUMMYFUNCTION("IMPORTRANGE(""https://docs.google.com/spreadsheets/d/1XL5vhW3sbDhbH9Cz0tuDiY8C3ctxq1tqvaCgkFb8cCA/edit#gid=346597447"",""มหาสารคาม!J563"")"),0)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IFERROR(__xludf.DUMMYFUNCTION("IMPORTRANGE(""https://docs.google.com/spreadsheets/d/1XL5vhW3sbDhbH9Cz0tuDiY8C3ctxq1tqvaCgkFb8cCA/edit#gid=346597447"",""มหาสารคาม!L563"")"),0)</f>
        <v>0</v>
      </c>
      <c r="M668" s="570"/>
      <c r="N668" s="587">
        <f ca="1">IFERROR(__xludf.DUMMYFUNCTION("IMPORTRANGE(""https://docs.google.com/spreadsheets/d/1XL5vhW3sbDhbH9Cz0tuDiY8C3ctxq1tqvaCgkFb8cCA/edit#gid=346597447"",""มหาสารคาม!M563"")"),0)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IFERROR(__xludf.DUMMYFUNCTION("IMPORTRANGE(""https://docs.google.com/spreadsheets/d/1XL5vhW3sbDhbH9Cz0tuDiY8C3ctxq1tqvaCgkFb8cCA/edit#gid=346597447"",""มหาสารคาม!J564"")"),0)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IFERROR(__xludf.DUMMYFUNCTION("IMPORTRANGE(""https://docs.google.com/spreadsheets/d/1XL5vhW3sbDhbH9Cz0tuDiY8C3ctxq1tqvaCgkFb8cCA/edit#gid=346597447"",""มหาสารคาม!J565"")"),0)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IFERROR(__xludf.DUMMYFUNCTION("IMPORTRANGE(""https://docs.google.com/spreadsheets/d/1XL5vhW3sbDhbH9Cz0tuDiY8C3ctxq1tqvaCgkFb8cCA/edit#gid=346597447"",""มหาสารคาม!I566"")"),0)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IFERROR(__xludf.DUMMYFUNCTION("IMPORTRANGE(""https://docs.google.com/spreadsheets/d/1XL5vhW3sbDhbH9Cz0tuDiY8C3ctxq1tqvaCgkFb8cCA/edit#gid=346597447"",""มหาสารคาม!L566"")"),0)</f>
        <v>0</v>
      </c>
      <c r="M671" s="570"/>
      <c r="N671" s="587">
        <f ca="1">IFERROR(__xludf.DUMMYFUNCTION("IMPORTRANGE(""https://docs.google.com/spreadsheets/d/1XL5vhW3sbDhbH9Cz0tuDiY8C3ctxq1tqvaCgkFb8cCA/edit#gid=346597447"",""มหาสารคาม!M566"")"),0)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IFERROR(__xludf.DUMMYFUNCTION("IMPORTRANGE(""https://docs.google.com/spreadsheets/d/1XL5vhW3sbDhbH9Cz0tuDiY8C3ctxq1tqvaCgkFb8cCA/edit#gid=346597447"",""มหาสารคาม!J567"")"),0)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IFERROR(__xludf.DUMMYFUNCTION("IMPORTRANGE(""https://docs.google.com/spreadsheets/d/1XL5vhW3sbDhbH9Cz0tuDiY8C3ctxq1tqvaCgkFb8cCA/edit#gid=346597447"",""มหาสารคาม!J568"")"),0)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IFERROR(__xludf.DUMMYFUNCTION("IMPORTRANGE(""https://docs.google.com/spreadsheets/d/1XL5vhW3sbDhbH9Cz0tuDiY8C3ctxq1tqvaCgkFb8cCA/edit#gid=346597447"",""มหาสารคาม!J569"")"),0)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IFERROR(__xludf.DUMMYFUNCTION("IMPORTRANGE(""https://docs.google.com/spreadsheets/d/1XL5vhW3sbDhbH9Cz0tuDiY8C3ctxq1tqvaCgkFb8cCA/edit#gid=346597447"",""มหาสารคาม!J570"")"),0)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IFERROR(__xludf.DUMMYFUNCTION("IMPORTRANGE(""https://docs.google.com/spreadsheets/d/1XL5vhW3sbDhbH9Cz0tuDiY8C3ctxq1tqvaCgkFb8cCA/edit#gid=346597447"",""มหาสารคาม!J571"")"),0)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IFERROR(__xludf.DUMMYFUNCTION("IMPORTRANGE(""https://docs.google.com/spreadsheets/d/1XL5vhW3sbDhbH9Cz0tuDiY8C3ctxq1tqvaCgkFb8cCA/edit#gid=346597447"",""มหาสารคาม!J572"")"),0)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2022-05-18T09:29:51Z</cp:lastPrinted>
  <dcterms:modified xsi:type="dcterms:W3CDTF">2022-05-18T09:30:29Z</dcterms:modified>
</cp:coreProperties>
</file>